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<sst xmlns="http://schemas.openxmlformats.org/spreadsheetml/2006/main" count="166" uniqueCount="119">
  <si>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</si>
  <si>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</si>
  <si>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</si>
  <si>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</si>
  <si>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</si>
  <si>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</si>
  <si>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</si>
  <si>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</si>
  <si>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</si>
  <si>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</si>
  <si>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</si>
  <si>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</si>
  <si>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</si>
  <si>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</si>
  <si>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</si>
  <si>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</si>
  <si>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</si>
  <si>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</si>
  <si>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</si>
  <si>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</si>
  <si>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</si>
  <si>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</si>
  <si>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</si>
  <si>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</si>
  <si>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</si>
  <si>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</si>
  <si>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</si>
  <si>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</si>
  <si>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</si>
  <si>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</si>
  <si>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</si>
  <si>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</si>
  <si>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</si>
  <si>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</si>
  <si>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</si>
  <si>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</si>
  <si>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</si>
  <si>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</si>
  <si>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</si>
  <si>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</si>
  <si>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</si>
  <si>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</si>
  <si>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</si>
  <si>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</si>
  <si>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</si>
  <si>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</si>
  <si>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</si>
  <si>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</si>
  <si>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</si>
  <si>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</si>
  <si>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</si>
  <si>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</si>
  <si>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</si>
  <si>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</si>
  <si>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</si>
  <si>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</si>
  <si>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</si>
  <si>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</si>
  <si>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</si>
  <si>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</si>
  <si>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</si>
  <si>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</si>
  <si>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</si>
  <si>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</si>
  <si>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</si>
  <si>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</si>
  <si>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</si>
  <si>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</si>
  <si>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</si>
  <si>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</si>
  <si>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</si>
  <si>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</si>
  <si>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</si>
  <si>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</si>
  <si>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</si>
  <si>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</si>
  <si>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</si>
  <si>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</si>
  <si>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</si>
  <si>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</si>
  <si>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</si>
  <si>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</si>
  <si>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</si>
  <si>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</si>
  <si>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</si>
  <si>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</si>
  <si>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</si>
  <si>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</si>
  <si>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</si>
  <si>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</si>
  <si>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</si>
  <si>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</si>
  <si>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</si>
  <si>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</si>
  <si>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</si>
  <si>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</si>
  <si>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</si>
  <si>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</si>
  <si>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</si>
  <si>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</si>
  <si>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</si>
  <si>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</si>
  <si>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</si>
  <si>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</si>
  <si>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</si>
  <si>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</si>
  <si>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</si>
  <si>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</si>
  <si>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</si>
  <si>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</si>
  <si>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</si>
  <si>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</si>
  <si>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</si>
  <si>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</si>
  <si>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</si>
  <si>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Аналіз використання коштів міського бюджету за 2015 рік станом на 01.07.2015 року</t>
  </si>
  <si>
    <t>План на 7 місяців, тис.грн.</t>
  </si>
  <si>
    <t>Відсоток виконання плану 7 місяців</t>
  </si>
  <si>
    <t>Відхилення від плану 7 місяців, тис.грн.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</si>
</sst>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48744.1</c:v>
                </c:pt>
                <c:pt idx="1">
                  <c:v>39638</c:v>
                </c:pt>
                <c:pt idx="2">
                  <c:v>2575.1</c:v>
                </c:pt>
                <c:pt idx="3">
                  <c:v>6530.999999999998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20897.999999999993</c:v>
                </c:pt>
                <c:pt idx="1">
                  <c:v>17683.5</c:v>
                </c:pt>
                <c:pt idx="2">
                  <c:v>943.8</c:v>
                </c:pt>
                <c:pt idx="3">
                  <c:v>2270.6999999999925</c:v>
                </c:pt>
              </c:numCache>
            </c:numRef>
          </c:val>
          <c:shape val="box"/>
        </c:ser>
        <c:shape val="box"/>
        <c:axId val="37123565"/>
        <c:axId val="65676630"/>
      </c:bar3DChart>
      <c:catAx>
        <c:axId val="37123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676630"/>
        <c:crosses val="autoZero"/>
        <c:auto val="1"/>
        <c:lblOffset val="100"/>
        <c:tickLblSkip val="1"/>
        <c:noMultiLvlLbl val="0"/>
      </c:catAx>
      <c:valAx>
        <c:axId val="65676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235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339510.69999999995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286.2</c:v>
                </c:pt>
                <c:pt idx="7">
                  <c:v>3699.099999999952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173765.10000000003</c:v>
                </c:pt>
                <c:pt idx="1">
                  <c:v>90814.79999999999</c:v>
                </c:pt>
                <c:pt idx="2">
                  <c:v>128292.5</c:v>
                </c:pt>
                <c:pt idx="3">
                  <c:v>4</c:v>
                </c:pt>
                <c:pt idx="4">
                  <c:v>8640.699999999999</c:v>
                </c:pt>
                <c:pt idx="5">
                  <c:v>34860.700000000004</c:v>
                </c:pt>
                <c:pt idx="6">
                  <c:v>168.7</c:v>
                </c:pt>
                <c:pt idx="7">
                  <c:v>1798.5000000000334</c:v>
                </c:pt>
              </c:numCache>
            </c:numRef>
          </c:val>
          <c:shape val="box"/>
        </c:ser>
        <c:shape val="box"/>
        <c:axId val="54218759"/>
        <c:axId val="18206784"/>
      </c:bar3DChart>
      <c:catAx>
        <c:axId val="54218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06784"/>
        <c:crosses val="autoZero"/>
        <c:auto val="1"/>
        <c:lblOffset val="100"/>
        <c:tickLblSkip val="1"/>
        <c:noMultiLvlLbl val="0"/>
      </c:catAx>
      <c:valAx>
        <c:axId val="18206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187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226686.80000000002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15024.20000000002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99524.49999999997</c:v>
                </c:pt>
                <c:pt idx="1">
                  <c:v>88390.20000000003</c:v>
                </c:pt>
                <c:pt idx="2">
                  <c:v>75590.49999999997</c:v>
                </c:pt>
                <c:pt idx="3">
                  <c:v>3608.0999999999995</c:v>
                </c:pt>
                <c:pt idx="4">
                  <c:v>1418</c:v>
                </c:pt>
                <c:pt idx="5">
                  <c:v>12447.1</c:v>
                </c:pt>
                <c:pt idx="6">
                  <c:v>666.8</c:v>
                </c:pt>
                <c:pt idx="7">
                  <c:v>5794.000000000001</c:v>
                </c:pt>
              </c:numCache>
            </c:numRef>
          </c:val>
          <c:shape val="box"/>
        </c:ser>
        <c:shape val="box"/>
        <c:axId val="29643329"/>
        <c:axId val="65463370"/>
      </c:bar3DChart>
      <c:catAx>
        <c:axId val="29643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463370"/>
        <c:crosses val="autoZero"/>
        <c:auto val="1"/>
        <c:lblOffset val="100"/>
        <c:tickLblSkip val="1"/>
        <c:noMultiLvlLbl val="0"/>
      </c:catAx>
      <c:valAx>
        <c:axId val="65463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433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42246.299999999996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22350.199999999993</c:v>
                </c:pt>
                <c:pt idx="1">
                  <c:v>16232.400000000001</c:v>
                </c:pt>
                <c:pt idx="2">
                  <c:v>1235.3000000000002</c:v>
                </c:pt>
                <c:pt idx="3">
                  <c:v>269.5</c:v>
                </c:pt>
                <c:pt idx="4">
                  <c:v>17</c:v>
                </c:pt>
                <c:pt idx="5">
                  <c:v>4595.999999999992</c:v>
                </c:pt>
              </c:numCache>
            </c:numRef>
          </c:val>
          <c:shape val="box"/>
        </c:ser>
        <c:shape val="box"/>
        <c:axId val="52299419"/>
        <c:axId val="932724"/>
      </c:bar3DChart>
      <c:catAx>
        <c:axId val="5229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2724"/>
        <c:crosses val="autoZero"/>
        <c:auto val="1"/>
        <c:lblOffset val="100"/>
        <c:tickLblSkip val="1"/>
        <c:noMultiLvlLbl val="0"/>
      </c:catAx>
      <c:valAx>
        <c:axId val="932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994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1375"/>
          <c:y val="0.029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6100.2</c:v>
                </c:pt>
                <c:pt idx="1">
                  <c:v>3777.7999999999997</c:v>
                </c:pt>
                <c:pt idx="3">
                  <c:v>88.7</c:v>
                </c:pt>
                <c:pt idx="4">
                  <c:v>390.10000000000014</c:v>
                </c:pt>
                <c:pt idx="5">
                  <c:v>1843.6</c:v>
                </c:pt>
              </c:numCache>
            </c:numRef>
          </c:val>
          <c:shape val="box"/>
        </c:ser>
        <c:shape val="box"/>
        <c:axId val="8394517"/>
        <c:axId val="8441790"/>
      </c:bar3DChart>
      <c:catAx>
        <c:axId val="8394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441790"/>
        <c:crosses val="autoZero"/>
        <c:auto val="1"/>
        <c:lblOffset val="100"/>
        <c:tickLblSkip val="2"/>
        <c:noMultiLvlLbl val="0"/>
      </c:catAx>
      <c:valAx>
        <c:axId val="8441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945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5525</c:v>
                </c:pt>
                <c:pt idx="1">
                  <c:v>1426.1</c:v>
                </c:pt>
                <c:pt idx="2">
                  <c:v>299.9</c:v>
                </c:pt>
                <c:pt idx="3">
                  <c:v>464.8</c:v>
                </c:pt>
                <c:pt idx="4">
                  <c:v>3128.9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893.2999999999997</c:v>
                </c:pt>
                <c:pt idx="1">
                  <c:v>608.9</c:v>
                </c:pt>
                <c:pt idx="3">
                  <c:v>232.00000000000003</c:v>
                </c:pt>
                <c:pt idx="5">
                  <c:v>52.39999999999972</c:v>
                </c:pt>
              </c:numCache>
            </c:numRef>
          </c:val>
          <c:shape val="box"/>
        </c:ser>
        <c:shape val="box"/>
        <c:axId val="8867247"/>
        <c:axId val="12696360"/>
      </c:bar3DChart>
      <c:catAx>
        <c:axId val="8867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696360"/>
        <c:crosses val="autoZero"/>
        <c:auto val="1"/>
        <c:lblOffset val="100"/>
        <c:tickLblSkip val="1"/>
        <c:noMultiLvlLbl val="0"/>
      </c:catAx>
      <c:valAx>
        <c:axId val="12696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672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25912.300000000003</c:v>
                </c:pt>
              </c:numCache>
            </c:numRef>
          </c:val>
          <c:shape val="box"/>
        </c:ser>
        <c:shape val="box"/>
        <c:axId val="47158377"/>
        <c:axId val="21772210"/>
      </c:bar3DChart>
      <c:catAx>
        <c:axId val="47158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772210"/>
        <c:crosses val="autoZero"/>
        <c:auto val="1"/>
        <c:lblOffset val="100"/>
        <c:tickLblSkip val="1"/>
        <c:noMultiLvlLbl val="0"/>
      </c:catAx>
      <c:valAx>
        <c:axId val="217722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583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339510.69999999995</c:v>
                </c:pt>
                <c:pt idx="1">
                  <c:v>226686.80000000002</c:v>
                </c:pt>
                <c:pt idx="2">
                  <c:v>42246.299999999996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48744.1</c:v>
                </c:pt>
                <c:pt idx="6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173765.10000000003</c:v>
                </c:pt>
                <c:pt idx="1">
                  <c:v>99524.49999999997</c:v>
                </c:pt>
                <c:pt idx="2">
                  <c:v>22350.199999999993</c:v>
                </c:pt>
                <c:pt idx="3">
                  <c:v>6100.2</c:v>
                </c:pt>
                <c:pt idx="4">
                  <c:v>893.2999999999997</c:v>
                </c:pt>
                <c:pt idx="5">
                  <c:v>20897.999999999993</c:v>
                </c:pt>
                <c:pt idx="6">
                  <c:v>25912.300000000003</c:v>
                </c:pt>
              </c:numCache>
            </c:numRef>
          </c:val>
          <c:shape val="box"/>
        </c:ser>
        <c:shape val="box"/>
        <c:axId val="61732163"/>
        <c:axId val="18718556"/>
      </c:bar3DChart>
      <c:catAx>
        <c:axId val="61732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18556"/>
        <c:crosses val="autoZero"/>
        <c:auto val="1"/>
        <c:lblOffset val="100"/>
        <c:tickLblSkip val="1"/>
        <c:noMultiLvlLbl val="0"/>
      </c:catAx>
      <c:valAx>
        <c:axId val="18718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321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99330.7</c:v>
                </c:pt>
                <c:pt idx="2">
                  <c:v>25986.7</c:v>
                </c:pt>
                <c:pt idx="3">
                  <c:v>14593.8</c:v>
                </c:pt>
                <c:pt idx="4">
                  <c:v>12618.400000000001</c:v>
                </c:pt>
                <c:pt idx="5">
                  <c:v>236317.4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245211.49999999994</c:v>
                </c:pt>
                <c:pt idx="1">
                  <c:v>52758.3</c:v>
                </c:pt>
                <c:pt idx="2">
                  <c:v>10173.6</c:v>
                </c:pt>
                <c:pt idx="3">
                  <c:v>3291</c:v>
                </c:pt>
                <c:pt idx="4">
                  <c:v>3612.3999999999996</c:v>
                </c:pt>
                <c:pt idx="5">
                  <c:v>106928.20000000006</c:v>
                </c:pt>
              </c:numCache>
            </c:numRef>
          </c:val>
          <c:shape val="box"/>
        </c:ser>
        <c:shape val="box"/>
        <c:axId val="34249277"/>
        <c:axId val="39808038"/>
      </c:bar3DChart>
      <c:catAx>
        <c:axId val="3424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808038"/>
        <c:crosses val="autoZero"/>
        <c:auto val="1"/>
        <c:lblOffset val="100"/>
        <c:tickLblSkip val="1"/>
        <c:noMultiLvlLbl val="0"/>
      </c:catAx>
      <c:valAx>
        <c:axId val="39808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492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115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116</v>
      </c>
      <c r="C3" s="138" t="s">
        <v>104</v>
      </c>
      <c r="D3" s="138" t="s">
        <v>29</v>
      </c>
      <c r="E3" s="138" t="s">
        <v>28</v>
      </c>
      <c r="F3" s="138" t="s">
        <v>117</v>
      </c>
      <c r="G3" s="138" t="s">
        <v>105</v>
      </c>
      <c r="H3" s="138" t="s">
        <v>118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v>217874.6</v>
      </c>
      <c r="C6" s="53">
        <f>336144.8+1363.8+2002.1+0.9</f>
        <v>339511.6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</f>
        <v>188317.40000000005</v>
      </c>
      <c r="E6" s="3">
        <f>D6/D144*100</f>
        <v>41.38859419914318</v>
      </c>
      <c r="F6" s="3">
        <f>D6/B6*100</f>
        <v>86.43384772708707</v>
      </c>
      <c r="G6" s="3">
        <f aca="true" t="shared" si="0" ref="G6:G43">D6/C6*100</f>
        <v>55.467147514252844</v>
      </c>
      <c r="H6" s="3">
        <f>B6-D6</f>
        <v>29557.199999999953</v>
      </c>
      <c r="I6" s="3">
        <f aca="true" t="shared" si="1" ref="I6:I43">C6-D6</f>
        <v>151194.19999999992</v>
      </c>
    </row>
    <row r="7" spans="1:9" s="44" customFormat="1" ht="18.75">
      <c r="A7" s="118" t="s">
        <v>107</v>
      </c>
      <c r="B7" s="109">
        <v>112520.5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</f>
        <v>95378.09999999999</v>
      </c>
      <c r="E7" s="107">
        <f>D7/D6*100</f>
        <v>50.64752380820888</v>
      </c>
      <c r="F7" s="107">
        <f>D7/B7*100</f>
        <v>84.76508725076764</v>
      </c>
      <c r="G7" s="107">
        <f>D7/C7*100</f>
        <v>54.835043153704454</v>
      </c>
      <c r="H7" s="107">
        <f>B7-D7</f>
        <v>17142.40000000001</v>
      </c>
      <c r="I7" s="107">
        <f t="shared" si="1"/>
        <v>78558.3</v>
      </c>
    </row>
    <row r="8" spans="1:9" ht="18">
      <c r="A8" s="29" t="s">
        <v>3</v>
      </c>
      <c r="B8" s="49">
        <v>159121.9</v>
      </c>
      <c r="C8" s="50">
        <v>251964.7</v>
      </c>
      <c r="D8" s="51">
        <f>2656.8+4544.7+5310.3+304.5+4240.2+2115.7+0.5+13.7+8260.2+9928.8+1441.7+7980.3+10682.7+0.1+0.1+1665.8+5183.3+3109.4+5382+3940+3165+1+0.1+5.9+3224.2+3872.8+9043.5+102.7+4158.8+4271.2-0.1+579.2+6936.6+16104.8+66+373.9+4553.9+9196.1</f>
        <v>142416.4</v>
      </c>
      <c r="E8" s="1">
        <f>D8/D6*100</f>
        <v>75.62572550385677</v>
      </c>
      <c r="F8" s="1">
        <f>D8/B8*100</f>
        <v>89.50144511849092</v>
      </c>
      <c r="G8" s="1">
        <f t="shared" si="0"/>
        <v>56.522362061034734</v>
      </c>
      <c r="H8" s="1">
        <f>B8-D8</f>
        <v>16705.5</v>
      </c>
      <c r="I8" s="1">
        <f t="shared" si="1"/>
        <v>109548.30000000002</v>
      </c>
    </row>
    <row r="9" spans="1:9" ht="18">
      <c r="A9" s="29" t="s">
        <v>2</v>
      </c>
      <c r="B9" s="49">
        <v>25.2</v>
      </c>
      <c r="C9" s="50">
        <v>45.2</v>
      </c>
      <c r="D9" s="51">
        <f>0.3+0.2+0.7+0.8+2+0.3</f>
        <v>4.3</v>
      </c>
      <c r="E9" s="12">
        <f>D9/D6*100</f>
        <v>0.0022833790186143174</v>
      </c>
      <c r="F9" s="136">
        <f>D9/B9*100</f>
        <v>17.063492063492063</v>
      </c>
      <c r="G9" s="1">
        <f t="shared" si="0"/>
        <v>9.513274336283185</v>
      </c>
      <c r="H9" s="1">
        <f aca="true" t="shared" si="2" ref="H9:H43">B9-D9</f>
        <v>20.9</v>
      </c>
      <c r="I9" s="1">
        <f t="shared" si="1"/>
        <v>40.900000000000006</v>
      </c>
    </row>
    <row r="10" spans="1:9" ht="18">
      <c r="A10" s="29" t="s">
        <v>1</v>
      </c>
      <c r="B10" s="49">
        <v>12083.7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</f>
        <v>8731.9</v>
      </c>
      <c r="E10" s="1">
        <f>D10/D6*100</f>
        <v>4.636799361078689</v>
      </c>
      <c r="F10" s="1">
        <f aca="true" t="shared" si="3" ref="F10:F41">D10/B10*100</f>
        <v>72.2618072279186</v>
      </c>
      <c r="G10" s="1">
        <f t="shared" si="0"/>
        <v>39.49370409233998</v>
      </c>
      <c r="H10" s="1">
        <f t="shared" si="2"/>
        <v>3351.800000000001</v>
      </c>
      <c r="I10" s="1">
        <f t="shared" si="1"/>
        <v>13377.699999999999</v>
      </c>
    </row>
    <row r="11" spans="1:9" ht="18">
      <c r="A11" s="29" t="s">
        <v>0</v>
      </c>
      <c r="B11" s="49">
        <v>43504.8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</f>
        <v>35371.50000000001</v>
      </c>
      <c r="E11" s="1">
        <f>D11/D6*100</f>
        <v>18.782916501608454</v>
      </c>
      <c r="F11" s="1">
        <f t="shared" si="3"/>
        <v>81.30482153693387</v>
      </c>
      <c r="G11" s="1">
        <f t="shared" si="0"/>
        <v>57.60277106922952</v>
      </c>
      <c r="H11" s="1">
        <f t="shared" si="2"/>
        <v>8133.299999999996</v>
      </c>
      <c r="I11" s="1">
        <f t="shared" si="1"/>
        <v>26034.399999999987</v>
      </c>
    </row>
    <row r="12" spans="1:9" ht="18">
      <c r="A12" s="29" t="s">
        <v>15</v>
      </c>
      <c r="B12" s="49">
        <v>246.2</v>
      </c>
      <c r="C12" s="50">
        <f>286.2+9.9</f>
        <v>296.09999999999997</v>
      </c>
      <c r="D12" s="51">
        <f>3.8+3.8+12.7+7.4+5+16.3+3.8+110.9+3.8+1.2+5.4</f>
        <v>174.1</v>
      </c>
      <c r="E12" s="1">
        <f>D12/D6*100</f>
        <v>0.09245029933505876</v>
      </c>
      <c r="F12" s="1">
        <f t="shared" si="3"/>
        <v>70.71486596263202</v>
      </c>
      <c r="G12" s="1">
        <f t="shared" si="0"/>
        <v>58.79770347855455</v>
      </c>
      <c r="H12" s="1">
        <f t="shared" si="2"/>
        <v>72.1</v>
      </c>
      <c r="I12" s="1">
        <f t="shared" si="1"/>
        <v>121.99999999999997</v>
      </c>
    </row>
    <row r="13" spans="1:9" ht="18.75" thickBot="1">
      <c r="A13" s="29" t="s">
        <v>35</v>
      </c>
      <c r="B13" s="50">
        <f>B6-B8-B9-B10-B11-B12</f>
        <v>2892.8000000000147</v>
      </c>
      <c r="C13" s="50">
        <f>C6-C8-C9-C10-C11-C12</f>
        <v>3690.0999999999754</v>
      </c>
      <c r="D13" s="50">
        <f>D6-D8-D9-D10-D11-D12</f>
        <v>1619.2000000000467</v>
      </c>
      <c r="E13" s="1">
        <f>D13/D6*100</f>
        <v>0.8598249551024207</v>
      </c>
      <c r="F13" s="1">
        <f t="shared" si="3"/>
        <v>55.97345132743495</v>
      </c>
      <c r="G13" s="1">
        <f t="shared" si="0"/>
        <v>43.879569659360385</v>
      </c>
      <c r="H13" s="1">
        <f t="shared" si="2"/>
        <v>1273.599999999968</v>
      </c>
      <c r="I13" s="1">
        <f t="shared" si="1"/>
        <v>2070.8999999999287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129823.9</v>
      </c>
      <c r="C18" s="53">
        <f>225678.2+490.7+518-0.1</f>
        <v>226686.80000000002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</f>
        <v>108606.59999999996</v>
      </c>
      <c r="E18" s="3">
        <f>D18/D144*100</f>
        <v>23.86967160097081</v>
      </c>
      <c r="F18" s="3">
        <f>D18/B18*100</f>
        <v>83.65686133292866</v>
      </c>
      <c r="G18" s="3">
        <f t="shared" si="0"/>
        <v>47.91042089790846</v>
      </c>
      <c r="H18" s="3">
        <f>B18-D18</f>
        <v>21217.300000000032</v>
      </c>
      <c r="I18" s="3">
        <f t="shared" si="1"/>
        <v>118080.20000000006</v>
      </c>
    </row>
    <row r="19" spans="1:9" s="44" customFormat="1" ht="18.75">
      <c r="A19" s="118" t="s">
        <v>108</v>
      </c>
      <c r="B19" s="109">
        <v>115998.8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</f>
        <v>97460.80000000002</v>
      </c>
      <c r="E19" s="107">
        <f>D19/D18*100</f>
        <v>89.73745610303614</v>
      </c>
      <c r="F19" s="107">
        <f t="shared" si="3"/>
        <v>84.01880019448478</v>
      </c>
      <c r="G19" s="107">
        <f t="shared" si="0"/>
        <v>52.252422270736744</v>
      </c>
      <c r="H19" s="107">
        <f t="shared" si="2"/>
        <v>18537.999999999985</v>
      </c>
      <c r="I19" s="107">
        <f t="shared" si="1"/>
        <v>89058.4</v>
      </c>
    </row>
    <row r="20" spans="1:9" ht="18">
      <c r="A20" s="29" t="s">
        <v>5</v>
      </c>
      <c r="B20" s="49">
        <v>98993</v>
      </c>
      <c r="C20" s="50">
        <v>169195.9</v>
      </c>
      <c r="D20" s="51">
        <f>5164.3+574.5+4352.6-225.6+2461.2+632.3+5026.9+4104.6-0.1+3875.3+3989.4+855.4+280+4996.6+192.6+3533.4+437.2+168.1+4832.7+3683.6+898.2+0.2+194.2+4252.2+32.7+5166.1+5891.5+37.7+4672.2+35.4+5475.1+7818.4+36.9</f>
        <v>83445.79999999996</v>
      </c>
      <c r="E20" s="1">
        <f>D20/D18*100</f>
        <v>76.83308380890294</v>
      </c>
      <c r="F20" s="1">
        <f t="shared" si="3"/>
        <v>84.2946470962593</v>
      </c>
      <c r="G20" s="1">
        <f t="shared" si="0"/>
        <v>49.31904378297581</v>
      </c>
      <c r="H20" s="1">
        <f t="shared" si="2"/>
        <v>15547.20000000004</v>
      </c>
      <c r="I20" s="1">
        <f t="shared" si="1"/>
        <v>85750.10000000003</v>
      </c>
    </row>
    <row r="21" spans="1:9" ht="18">
      <c r="A21" s="29" t="s">
        <v>2</v>
      </c>
      <c r="B21" s="49">
        <v>6770</v>
      </c>
      <c r="C21" s="50">
        <f>12491.1+200.3</f>
        <v>12691.4</v>
      </c>
      <c r="D21" s="51">
        <f>11+1.8+42.7+3+47.6+40.1+0.7+2.5+101.4-0.1+82.5+53+0.2+1536.8+83.2+0.7+12.8+1.8+77.1+0.2+37.6+299.6+50.4+17.9+245.6+224.3+1.2+312.9+1.2+314.9+3.5+3.6+128.9+182.5+0.1</f>
        <v>3923.1999999999994</v>
      </c>
      <c r="E21" s="1">
        <f>D21/D18*100</f>
        <v>3.612303488001651</v>
      </c>
      <c r="F21" s="1">
        <f t="shared" si="3"/>
        <v>57.94977843426883</v>
      </c>
      <c r="G21" s="1">
        <f t="shared" si="0"/>
        <v>30.912271301826426</v>
      </c>
      <c r="H21" s="1">
        <f t="shared" si="2"/>
        <v>2846.8000000000006</v>
      </c>
      <c r="I21" s="1">
        <f t="shared" si="1"/>
        <v>8768.2</v>
      </c>
    </row>
    <row r="22" spans="1:9" ht="18">
      <c r="A22" s="29" t="s">
        <v>1</v>
      </c>
      <c r="B22" s="49">
        <v>1872.6</v>
      </c>
      <c r="C22" s="50">
        <v>3253.3</v>
      </c>
      <c r="D22" s="51">
        <f>173.9+19+7.6+19.5+89.8+0.1+92.4+48.6+202.1+56.1+96.9+242.1+36.1+19.2+171.7+0.1+22.2+39+81.6+82+84.2+0.1</f>
        <v>1584.3</v>
      </c>
      <c r="E22" s="1">
        <f>D22/D18*100</f>
        <v>1.4587511256222003</v>
      </c>
      <c r="F22" s="1">
        <f t="shared" si="3"/>
        <v>84.60429349567447</v>
      </c>
      <c r="G22" s="1">
        <f t="shared" si="0"/>
        <v>48.69824485906618</v>
      </c>
      <c r="H22" s="1">
        <f t="shared" si="2"/>
        <v>288.29999999999995</v>
      </c>
      <c r="I22" s="1">
        <f t="shared" si="1"/>
        <v>1669.0000000000002</v>
      </c>
    </row>
    <row r="23" spans="1:9" ht="18">
      <c r="A23" s="29" t="s">
        <v>0</v>
      </c>
      <c r="B23" s="49">
        <v>13596.3</v>
      </c>
      <c r="C23" s="50">
        <f>24676.2+518</f>
        <v>25194.2</v>
      </c>
      <c r="D23" s="51">
        <f>96.9+173.9+611.9+463.4+109.9+698.9+114.7+0.2+702.4+1027.2+819.6+1945.5+240.6+329.9+0.1+104.4+1287.1+2.2+0.5+9+338.9+138.1+1558.4-0.2+1154.7+105.4+0.9+293.6+119+115+9.1+124.5</f>
        <v>12695.7</v>
      </c>
      <c r="E23" s="1">
        <f>D23/D18*100</f>
        <v>11.68962107275249</v>
      </c>
      <c r="F23" s="1">
        <f t="shared" si="3"/>
        <v>93.37613909666601</v>
      </c>
      <c r="G23" s="1">
        <f t="shared" si="0"/>
        <v>50.39135991617118</v>
      </c>
      <c r="H23" s="1">
        <f t="shared" si="2"/>
        <v>900.5999999999985</v>
      </c>
      <c r="I23" s="1">
        <f t="shared" si="1"/>
        <v>12498.5</v>
      </c>
    </row>
    <row r="24" spans="1:9" ht="18">
      <c r="A24" s="29" t="s">
        <v>15</v>
      </c>
      <c r="B24" s="49">
        <v>831.9</v>
      </c>
      <c r="C24" s="50">
        <v>1528.1</v>
      </c>
      <c r="D24" s="51">
        <f>111+58.1+166.1+55.7+24.9+10.1-0.1+89.8+44.2+0.1+106.9</f>
        <v>666.8</v>
      </c>
      <c r="E24" s="1">
        <f>D24/D18*100</f>
        <v>0.6139590043330702</v>
      </c>
      <c r="F24" s="1">
        <f t="shared" si="3"/>
        <v>80.15386464719317</v>
      </c>
      <c r="G24" s="1">
        <f t="shared" si="0"/>
        <v>43.63588770368431</v>
      </c>
      <c r="H24" s="1">
        <f t="shared" si="2"/>
        <v>165.10000000000002</v>
      </c>
      <c r="I24" s="1">
        <f t="shared" si="1"/>
        <v>861.3</v>
      </c>
    </row>
    <row r="25" spans="1:9" ht="18.75" thickBot="1">
      <c r="A25" s="29" t="s">
        <v>35</v>
      </c>
      <c r="B25" s="50">
        <f>B18-B20-B21-B22-B23-B24</f>
        <v>7760.099999999997</v>
      </c>
      <c r="C25" s="50">
        <f>C18-C20-C21-C22-C23-C24</f>
        <v>14823.900000000018</v>
      </c>
      <c r="D25" s="50">
        <f>D18-D20-D21-D22-D23-D24</f>
        <v>6290.800000000002</v>
      </c>
      <c r="E25" s="1">
        <f>D25/D18*100</f>
        <v>5.792281500387642</v>
      </c>
      <c r="F25" s="1">
        <f t="shared" si="3"/>
        <v>81.06596564477267</v>
      </c>
      <c r="G25" s="1">
        <f t="shared" si="0"/>
        <v>42.43687558604682</v>
      </c>
      <c r="H25" s="1">
        <f t="shared" si="2"/>
        <v>1469.2999999999947</v>
      </c>
      <c r="I25" s="1">
        <f t="shared" si="1"/>
        <v>8533.100000000017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27185.8</v>
      </c>
      <c r="C33" s="53">
        <f>41831.7+164.1+250.5+5</f>
        <v>42251.299999999996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</f>
        <v>24327.39999999999</v>
      </c>
      <c r="E33" s="3">
        <f>D33/D144*100</f>
        <v>5.346701295367475</v>
      </c>
      <c r="F33" s="3">
        <f>D33/B33*100</f>
        <v>89.48568738091205</v>
      </c>
      <c r="G33" s="3">
        <f t="shared" si="0"/>
        <v>57.57787334354207</v>
      </c>
      <c r="H33" s="3">
        <f t="shared" si="2"/>
        <v>2858.4000000000087</v>
      </c>
      <c r="I33" s="3">
        <f t="shared" si="1"/>
        <v>17923.900000000005</v>
      </c>
    </row>
    <row r="34" spans="1:9" ht="18">
      <c r="A34" s="29" t="s">
        <v>3</v>
      </c>
      <c r="B34" s="49">
        <v>19374.1</v>
      </c>
      <c r="C34" s="50">
        <v>29626.4</v>
      </c>
      <c r="D34" s="51">
        <f>1216.2+1064.6-0.1+1185.2+1240.8+0.1+1202.8+1206.8+1191.1+1224.7+5.8+1196.2+1414.6+52.8+4003.5+27.3+1811.7+0.1</f>
        <v>18044.2</v>
      </c>
      <c r="E34" s="1">
        <f>D34/D33*100</f>
        <v>74.17233243174365</v>
      </c>
      <c r="F34" s="1">
        <f t="shared" si="3"/>
        <v>93.13568114131753</v>
      </c>
      <c r="G34" s="1">
        <f t="shared" si="0"/>
        <v>60.90581373369697</v>
      </c>
      <c r="H34" s="1">
        <f t="shared" si="2"/>
        <v>1329.8999999999978</v>
      </c>
      <c r="I34" s="1">
        <f t="shared" si="1"/>
        <v>11582.2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1632.6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</f>
        <v>1242.9</v>
      </c>
      <c r="E36" s="1">
        <f>D36/D33*100</f>
        <v>5.109053988506789</v>
      </c>
      <c r="F36" s="1">
        <f t="shared" si="3"/>
        <v>76.13009922822492</v>
      </c>
      <c r="G36" s="1">
        <f t="shared" si="0"/>
        <v>46.48092744951384</v>
      </c>
      <c r="H36" s="1">
        <f t="shared" si="2"/>
        <v>389.6999999999998</v>
      </c>
      <c r="I36" s="1">
        <f t="shared" si="1"/>
        <v>1431.1</v>
      </c>
    </row>
    <row r="37" spans="1:9" s="44" customFormat="1" ht="18.75">
      <c r="A37" s="23" t="s">
        <v>7</v>
      </c>
      <c r="B37" s="58">
        <v>392.9</v>
      </c>
      <c r="C37" s="59">
        <f>493.5+22</f>
        <v>515.5</v>
      </c>
      <c r="D37" s="60">
        <f>19+12.3+0.1+11.9+3.2+10.7+22.4+14.8+37.3+30.8+8.3+7.2+2+25.1+13.4+51+75.3</f>
        <v>344.8</v>
      </c>
      <c r="E37" s="19">
        <f>D37/D33*100</f>
        <v>1.4173318973667557</v>
      </c>
      <c r="F37" s="19">
        <f t="shared" si="3"/>
        <v>87.75769916009163</v>
      </c>
      <c r="G37" s="19">
        <f t="shared" si="0"/>
        <v>66.88651794374394</v>
      </c>
      <c r="H37" s="19">
        <f t="shared" si="2"/>
        <v>48.099999999999966</v>
      </c>
      <c r="I37" s="19">
        <f t="shared" si="1"/>
        <v>170.7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0.06988005294441661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5749.200000000001</v>
      </c>
      <c r="C39" s="49">
        <f>C33-C34-C36-C37-C35-C38</f>
        <v>9388.199999999993</v>
      </c>
      <c r="D39" s="49">
        <f>D33-D34-D36-D37-D35-D38</f>
        <v>4678.49999999999</v>
      </c>
      <c r="E39" s="1">
        <f>D39/D33*100</f>
        <v>19.231401629438377</v>
      </c>
      <c r="F39" s="1">
        <f t="shared" si="3"/>
        <v>81.37653934460428</v>
      </c>
      <c r="G39" s="1">
        <f t="shared" si="0"/>
        <v>49.833833961781735</v>
      </c>
      <c r="H39" s="1">
        <f>B39-D39</f>
        <v>1070.7000000000107</v>
      </c>
      <c r="I39" s="1">
        <f t="shared" si="1"/>
        <v>4709.7000000000035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495</v>
      </c>
      <c r="C43" s="53">
        <f>768.4+32.5+15+3</f>
        <v>818.9</v>
      </c>
      <c r="D43" s="54">
        <f>17.7+12.2+11.2+51.1+0.8+30+0.1+18.9+27.3+43.7+9+5.4+5.6+7.8+24.4+6.4-0.1+26.1+70.2+6+6+27.3</f>
        <v>407.09999999999997</v>
      </c>
      <c r="E43" s="3">
        <f>D43/D144*100</f>
        <v>0.08947286176673627</v>
      </c>
      <c r="F43" s="3">
        <f>D43/B43*100</f>
        <v>82.24242424242424</v>
      </c>
      <c r="G43" s="3">
        <f t="shared" si="0"/>
        <v>49.71302967395286</v>
      </c>
      <c r="H43" s="3">
        <f t="shared" si="2"/>
        <v>87.90000000000003</v>
      </c>
      <c r="I43" s="3">
        <f t="shared" si="1"/>
        <v>411.8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3930.5-2.4</f>
        <v>3928.1</v>
      </c>
      <c r="C45" s="53">
        <f>6659.3+87.1+1.5</f>
        <v>6747.900000000001</v>
      </c>
      <c r="D45" s="54">
        <f>193+223+8.7+101.1+200.9+9+241+299.2+7.6+43.6+283.1+0.8+48.7+276.1+3.4+2.2+253.5+5+282+1.9+4.8+3.2+261.3+0.5+265.1+0.7+6.9+276.6+1.6</f>
        <v>3304.4999999999995</v>
      </c>
      <c r="E45" s="3">
        <f>D45/D144*100</f>
        <v>0.7262664497867354</v>
      </c>
      <c r="F45" s="3">
        <f>D45/B45*100</f>
        <v>84.12464041139481</v>
      </c>
      <c r="G45" s="3">
        <f aca="true" t="shared" si="4" ref="G45:G75">D45/C45*100</f>
        <v>48.9707909127284</v>
      </c>
      <c r="H45" s="3">
        <f>B45-D45</f>
        <v>623.6000000000004</v>
      </c>
      <c r="I45" s="3">
        <f aca="true" t="shared" si="5" ref="I45:I76">C45-D45</f>
        <v>3443.400000000001</v>
      </c>
    </row>
    <row r="46" spans="1:9" ht="18">
      <c r="A46" s="29" t="s">
        <v>3</v>
      </c>
      <c r="B46" s="49">
        <v>3326.8</v>
      </c>
      <c r="C46" s="50">
        <v>5755.9</v>
      </c>
      <c r="D46" s="51">
        <f>193+222.7+1.6+196.4+240.9+0.1+199.7+265.9+214+253.1+238.6+255.9+243.9+273.5</f>
        <v>2799.3</v>
      </c>
      <c r="E46" s="1">
        <f>D46/D45*100</f>
        <v>84.71175669541536</v>
      </c>
      <c r="F46" s="1">
        <f aca="true" t="shared" si="6" ref="F46:F73">D46/B46*100</f>
        <v>84.14392208729109</v>
      </c>
      <c r="G46" s="1">
        <f t="shared" si="4"/>
        <v>48.6335759829045</v>
      </c>
      <c r="H46" s="1">
        <f aca="true" t="shared" si="7" ref="H46:H73">B46-D46</f>
        <v>527.5</v>
      </c>
      <c r="I46" s="1">
        <f t="shared" si="5"/>
        <v>2956.5999999999995</v>
      </c>
    </row>
    <row r="47" spans="1:9" ht="18">
      <c r="A47" s="29" t="s">
        <v>2</v>
      </c>
      <c r="B47" s="49">
        <v>0.7</v>
      </c>
      <c r="C47" s="50">
        <v>1.2</v>
      </c>
      <c r="D47" s="51">
        <f>0.3</f>
        <v>0.3</v>
      </c>
      <c r="E47" s="1">
        <f>D47/D45*100</f>
        <v>0.009078529278256923</v>
      </c>
      <c r="F47" s="1">
        <f t="shared" si="6"/>
        <v>42.85714285714286</v>
      </c>
      <c r="G47" s="1">
        <f t="shared" si="4"/>
        <v>25</v>
      </c>
      <c r="H47" s="1">
        <f t="shared" si="7"/>
        <v>0.39999999999999997</v>
      </c>
      <c r="I47" s="1">
        <f t="shared" si="5"/>
        <v>0.8999999999999999</v>
      </c>
    </row>
    <row r="48" spans="1:9" ht="18">
      <c r="A48" s="29" t="s">
        <v>1</v>
      </c>
      <c r="B48" s="49">
        <v>37.6</v>
      </c>
      <c r="C48" s="50">
        <v>60.2</v>
      </c>
      <c r="D48" s="51">
        <f>3.8+1+5.7-0.1+1.3+4.1-0.1+4.6+1.1+4.8</f>
        <v>26.200000000000003</v>
      </c>
      <c r="E48" s="1">
        <f>D48/D45*100</f>
        <v>0.7928582236344381</v>
      </c>
      <c r="F48" s="1">
        <f t="shared" si="6"/>
        <v>69.68085106382979</v>
      </c>
      <c r="G48" s="1">
        <f t="shared" si="4"/>
        <v>43.521594684385384</v>
      </c>
      <c r="H48" s="1">
        <f t="shared" si="7"/>
        <v>11.399999999999999</v>
      </c>
      <c r="I48" s="1">
        <f t="shared" si="5"/>
        <v>34</v>
      </c>
    </row>
    <row r="49" spans="1:9" ht="18">
      <c r="A49" s="29" t="s">
        <v>0</v>
      </c>
      <c r="B49" s="49">
        <v>313.4</v>
      </c>
      <c r="C49" s="50">
        <v>538.3</v>
      </c>
      <c r="D49" s="51">
        <f>4.7+90.3+4.8+67.1+3.1+1.1+45.6+36.3+2.7+2+0.1+34.4+3.4+0.5+2.5+1.1</f>
        <v>299.69999999999993</v>
      </c>
      <c r="E49" s="1">
        <f>D49/D45*100</f>
        <v>9.069450748978666</v>
      </c>
      <c r="F49" s="1">
        <f t="shared" si="6"/>
        <v>95.62858966177407</v>
      </c>
      <c r="G49" s="1">
        <f t="shared" si="4"/>
        <v>55.67527401077466</v>
      </c>
      <c r="H49" s="1">
        <f t="shared" si="7"/>
        <v>13.700000000000045</v>
      </c>
      <c r="I49" s="1">
        <f t="shared" si="5"/>
        <v>238.60000000000002</v>
      </c>
    </row>
    <row r="50" spans="1:9" ht="18.75" thickBot="1">
      <c r="A50" s="29" t="s">
        <v>35</v>
      </c>
      <c r="B50" s="50">
        <f>B45-B46-B49-B48-B47</f>
        <v>249.59999999999977</v>
      </c>
      <c r="C50" s="50">
        <f>C45-C46-C49-C48-C47</f>
        <v>392.300000000001</v>
      </c>
      <c r="D50" s="50">
        <f>D45-D46-D49-D48-D47</f>
        <v>178.99999999999943</v>
      </c>
      <c r="E50" s="1">
        <f>D50/D45*100</f>
        <v>5.416855802693281</v>
      </c>
      <c r="F50" s="1">
        <f t="shared" si="6"/>
        <v>71.71474358974342</v>
      </c>
      <c r="G50" s="1">
        <f t="shared" si="4"/>
        <v>45.62834565383609</v>
      </c>
      <c r="H50" s="1">
        <f t="shared" si="7"/>
        <v>70.60000000000034</v>
      </c>
      <c r="I50" s="1">
        <f t="shared" si="5"/>
        <v>213.30000000000155</v>
      </c>
    </row>
    <row r="51" spans="1:9" ht="18.75" thickBot="1">
      <c r="A51" s="28" t="s">
        <v>4</v>
      </c>
      <c r="B51" s="52">
        <v>8761.7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</f>
        <v>7125.700000000001</v>
      </c>
      <c r="E51" s="3">
        <f>D51/D144*100</f>
        <v>1.566093763427248</v>
      </c>
      <c r="F51" s="3">
        <f>D51/B51*100</f>
        <v>81.32782450894233</v>
      </c>
      <c r="G51" s="3">
        <f t="shared" si="4"/>
        <v>50.153789846350925</v>
      </c>
      <c r="H51" s="3">
        <f>B51-D51</f>
        <v>1636</v>
      </c>
      <c r="I51" s="3">
        <f t="shared" si="5"/>
        <v>7082</v>
      </c>
    </row>
    <row r="52" spans="1:9" ht="18">
      <c r="A52" s="29" t="s">
        <v>3</v>
      </c>
      <c r="B52" s="49">
        <v>5297.6</v>
      </c>
      <c r="C52" s="50">
        <v>8729.1</v>
      </c>
      <c r="D52" s="51">
        <f>260.4+390.2+0.1+271.7+395.7-0.1+282.9+391.4+0.1+7.8+263.9+397.2+272.6+486-0.1+358+766.6-0.1</f>
        <v>4544.299999999999</v>
      </c>
      <c r="E52" s="1">
        <f>D52/D51*100</f>
        <v>63.77338366756948</v>
      </c>
      <c r="F52" s="1">
        <f t="shared" si="6"/>
        <v>85.78035336756264</v>
      </c>
      <c r="G52" s="1">
        <f t="shared" si="4"/>
        <v>52.05920427077246</v>
      </c>
      <c r="H52" s="1">
        <f t="shared" si="7"/>
        <v>753.3000000000011</v>
      </c>
      <c r="I52" s="1">
        <f t="shared" si="5"/>
        <v>4184.800000000001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148.9</v>
      </c>
      <c r="C54" s="50">
        <f>189.7+74</f>
        <v>263.7</v>
      </c>
      <c r="D54" s="51">
        <f>1.7+1.5+4.6+9.7+8-0.1+0.1+5.9+12.1+0.1+17.6+12.8+4+10.7+8.4+14.1</f>
        <v>111.2</v>
      </c>
      <c r="E54" s="1">
        <f>D54/D51*100</f>
        <v>1.5605484373465062</v>
      </c>
      <c r="F54" s="1">
        <f t="shared" si="6"/>
        <v>74.68099395567495</v>
      </c>
      <c r="G54" s="1">
        <f t="shared" si="4"/>
        <v>42.16913158892681</v>
      </c>
      <c r="H54" s="1">
        <f t="shared" si="7"/>
        <v>37.7</v>
      </c>
      <c r="I54" s="1">
        <f t="shared" si="5"/>
        <v>152.5</v>
      </c>
    </row>
    <row r="55" spans="1:9" ht="18">
      <c r="A55" s="29" t="s">
        <v>0</v>
      </c>
      <c r="B55" s="49">
        <v>421.1</v>
      </c>
      <c r="C55" s="50">
        <f>709.9+0.6</f>
        <v>710.5</v>
      </c>
      <c r="D55" s="51">
        <f>1.1+7.6+5.9+0.3+0.2+6.8+0.3+67.1+16.4-0.1+19.5+19.3+76.2+4.5+12.1+86.4+1+0.1+7.3+44.6+0.6+0.7+4.7+3.3+0.6+3.6+2.4+6.1+0.1</f>
        <v>398.70000000000016</v>
      </c>
      <c r="E55" s="1">
        <f>D55/D51*100</f>
        <v>5.595239765917736</v>
      </c>
      <c r="F55" s="1">
        <f t="shared" si="6"/>
        <v>94.68059843267636</v>
      </c>
      <c r="G55" s="1">
        <f t="shared" si="4"/>
        <v>56.11541168191416</v>
      </c>
      <c r="H55" s="1">
        <f t="shared" si="7"/>
        <v>22.399999999999864</v>
      </c>
      <c r="I55" s="1">
        <f t="shared" si="5"/>
        <v>311.79999999999984</v>
      </c>
    </row>
    <row r="56" spans="1:9" ht="18.75" thickBot="1">
      <c r="A56" s="29" t="s">
        <v>35</v>
      </c>
      <c r="B56" s="50">
        <f>B51-B52-B55-B54-B53</f>
        <v>2894.1000000000004</v>
      </c>
      <c r="C56" s="50">
        <f>C51-C52-C55-C54-C53</f>
        <v>4493.500000000001</v>
      </c>
      <c r="D56" s="50">
        <f>D51-D52-D55-D54-D53</f>
        <v>2071.5000000000014</v>
      </c>
      <c r="E56" s="1">
        <f>D56/D51*100</f>
        <v>29.070828129166276</v>
      </c>
      <c r="F56" s="1">
        <f t="shared" si="6"/>
        <v>71.57665595521928</v>
      </c>
      <c r="G56" s="1">
        <f t="shared" si="4"/>
        <v>46.09992210971405</v>
      </c>
      <c r="H56" s="1">
        <f t="shared" si="7"/>
        <v>822.599999999999</v>
      </c>
      <c r="I56" s="1">
        <f>C56-D56</f>
        <v>2421.9999999999995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3638.6</v>
      </c>
      <c r="C58" s="53">
        <f>3033.3+2447.7+44</f>
        <v>5525</v>
      </c>
      <c r="D58" s="54">
        <f>36.1+65.6+6.5+0.4+1.3+60.3+3+39.2+0.1+14.1+69.1+5.2-0.1+1.8+81+43+6.1+66+42.4+63.1+71.4+46.8+10.3+27.4+2.3+82.5+2.8+0.1+44.9+0.6+7.5+171.3-0.1</f>
        <v>1071.9999999999998</v>
      </c>
      <c r="E58" s="3">
        <f>D58/D144*100</f>
        <v>0.2356052758878439</v>
      </c>
      <c r="F58" s="3">
        <f>D58/B58*100</f>
        <v>29.461880943219914</v>
      </c>
      <c r="G58" s="3">
        <f t="shared" si="4"/>
        <v>19.402714932126695</v>
      </c>
      <c r="H58" s="3">
        <f>B58-D58</f>
        <v>2566.6000000000004</v>
      </c>
      <c r="I58" s="3">
        <f t="shared" si="5"/>
        <v>4453</v>
      </c>
    </row>
    <row r="59" spans="1:9" ht="18">
      <c r="A59" s="29" t="s">
        <v>3</v>
      </c>
      <c r="B59" s="49">
        <v>835.7</v>
      </c>
      <c r="C59" s="50">
        <v>1426.1</v>
      </c>
      <c r="D59" s="51">
        <f>36.1+65.6+39.2+69.1+1.8+43+66+41.2+71.4+46.8+1.2+82.5+0.1+44.9+89.3</f>
        <v>698.1999999999999</v>
      </c>
      <c r="E59" s="1">
        <f>D59/D58*100</f>
        <v>65.13059701492539</v>
      </c>
      <c r="F59" s="1">
        <f t="shared" si="6"/>
        <v>83.54672729448366</v>
      </c>
      <c r="G59" s="1">
        <f t="shared" si="4"/>
        <v>48.95869854848888</v>
      </c>
      <c r="H59" s="1">
        <f t="shared" si="7"/>
        <v>137.5000000000001</v>
      </c>
      <c r="I59" s="1">
        <f t="shared" si="5"/>
        <v>727.9</v>
      </c>
    </row>
    <row r="60" spans="1:9" ht="18">
      <c r="A60" s="29" t="s">
        <v>1</v>
      </c>
      <c r="B60" s="49">
        <v>201.1</v>
      </c>
      <c r="C60" s="50">
        <f>299.9</f>
        <v>299.9</v>
      </c>
      <c r="D60" s="51">
        <f>82</f>
        <v>82</v>
      </c>
      <c r="E60" s="1">
        <f>D60/D58*100</f>
        <v>7.6492537313432845</v>
      </c>
      <c r="F60" s="116">
        <f t="shared" si="6"/>
        <v>40.77573346593735</v>
      </c>
      <c r="G60" s="1">
        <f t="shared" si="4"/>
        <v>27.342447482494165</v>
      </c>
      <c r="H60" s="1">
        <f t="shared" si="7"/>
        <v>119.1</v>
      </c>
      <c r="I60" s="1">
        <f t="shared" si="5"/>
        <v>217.89999999999998</v>
      </c>
    </row>
    <row r="61" spans="1:9" ht="18">
      <c r="A61" s="29" t="s">
        <v>0</v>
      </c>
      <c r="B61" s="49">
        <v>288.8</v>
      </c>
      <c r="C61" s="50">
        <f>420.8+44</f>
        <v>464.8</v>
      </c>
      <c r="D61" s="51">
        <f>1.3+56.1+4.9+63.5+3.5+0.7+63-0.1+10.3+25.7+2.8+0.3+7.3</f>
        <v>239.30000000000004</v>
      </c>
      <c r="E61" s="1">
        <f>D61/D58*100</f>
        <v>22.32276119402986</v>
      </c>
      <c r="F61" s="1">
        <f t="shared" si="6"/>
        <v>82.8601108033241</v>
      </c>
      <c r="G61" s="1">
        <f t="shared" si="4"/>
        <v>51.48450946643719</v>
      </c>
      <c r="H61" s="1">
        <f t="shared" si="7"/>
        <v>49.49999999999997</v>
      </c>
      <c r="I61" s="1">
        <f t="shared" si="5"/>
        <v>225.49999999999997</v>
      </c>
    </row>
    <row r="62" spans="1:9" ht="18">
      <c r="A62" s="29" t="s">
        <v>15</v>
      </c>
      <c r="B62" s="49">
        <v>2128.9</v>
      </c>
      <c r="C62" s="50">
        <f>728.9+2400</f>
        <v>3128.9</v>
      </c>
      <c r="D62" s="51"/>
      <c r="E62" s="1">
        <f>D62/D58*100</f>
        <v>0</v>
      </c>
      <c r="F62" s="116">
        <f t="shared" si="6"/>
        <v>0</v>
      </c>
      <c r="G62" s="1">
        <f t="shared" si="4"/>
        <v>0</v>
      </c>
      <c r="H62" s="1">
        <f t="shared" si="7"/>
        <v>2128.9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184.09999999999937</v>
      </c>
      <c r="C63" s="50">
        <f>C58-C59-C61-C62-C60</f>
        <v>205.2999999999994</v>
      </c>
      <c r="D63" s="50">
        <f>D58-D59-D61-D62-D60</f>
        <v>52.4999999999998</v>
      </c>
      <c r="E63" s="1">
        <f>D63/D58*100</f>
        <v>4.897388059701475</v>
      </c>
      <c r="F63" s="1">
        <f t="shared" si="6"/>
        <v>28.517110266159683</v>
      </c>
      <c r="G63" s="1">
        <f t="shared" si="4"/>
        <v>25.57233317096929</v>
      </c>
      <c r="H63" s="1">
        <f t="shared" si="7"/>
        <v>131.59999999999957</v>
      </c>
      <c r="I63" s="1">
        <f t="shared" si="5"/>
        <v>152.79999999999959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294.70000000000005</v>
      </c>
      <c r="C68" s="53">
        <f>C69+C70</f>
        <v>416.6</v>
      </c>
      <c r="D68" s="54">
        <f>SUM(D69:D70)</f>
        <v>219.6</v>
      </c>
      <c r="E68" s="42">
        <f>D68/D144*100</f>
        <v>0.04826391659045759</v>
      </c>
      <c r="F68" s="111">
        <f>D68/B68*100</f>
        <v>74.51645741431963</v>
      </c>
      <c r="G68" s="3">
        <f t="shared" si="4"/>
        <v>52.7124339894383</v>
      </c>
      <c r="H68" s="3">
        <f>B68-D68</f>
        <v>75.10000000000005</v>
      </c>
      <c r="I68" s="3">
        <f t="shared" si="5"/>
        <v>197.00000000000003</v>
      </c>
    </row>
    <row r="69" spans="1:9" ht="18">
      <c r="A69" s="29" t="s">
        <v>8</v>
      </c>
      <c r="B69" s="49">
        <v>230.3</v>
      </c>
      <c r="C69" s="50">
        <f>250.3-5</f>
        <v>245.3</v>
      </c>
      <c r="D69" s="51">
        <f>0.2+12.6+73.3+85.8+22+1.3+2.3+2.7+1.6+2.5+7.9-0.2</f>
        <v>212</v>
      </c>
      <c r="E69" s="1">
        <f>D69/D68*100</f>
        <v>96.53916211293262</v>
      </c>
      <c r="F69" s="1">
        <f t="shared" si="6"/>
        <v>92.05384281372123</v>
      </c>
      <c r="G69" s="1">
        <f t="shared" si="4"/>
        <v>86.42478597635548</v>
      </c>
      <c r="H69" s="1">
        <f t="shared" si="7"/>
        <v>18.30000000000001</v>
      </c>
      <c r="I69" s="1">
        <f t="shared" si="5"/>
        <v>33.30000000000001</v>
      </c>
    </row>
    <row r="70" spans="1:9" ht="18.75" thickBot="1">
      <c r="A70" s="29" t="s">
        <v>9</v>
      </c>
      <c r="B70" s="49">
        <v>64.4</v>
      </c>
      <c r="C70" s="50">
        <f>242.8-42.9-28.6</f>
        <v>171.3</v>
      </c>
      <c r="D70" s="51">
        <f>7.4+0.2</f>
        <v>7.6000000000000005</v>
      </c>
      <c r="E70" s="1">
        <f>D70/D69*100</f>
        <v>3.584905660377359</v>
      </c>
      <c r="F70" s="1">
        <f t="shared" si="6"/>
        <v>11.801242236024844</v>
      </c>
      <c r="G70" s="1">
        <f t="shared" si="4"/>
        <v>4.436660828955049</v>
      </c>
      <c r="H70" s="1">
        <f t="shared" si="7"/>
        <v>56.800000000000004</v>
      </c>
      <c r="I70" s="1">
        <f t="shared" si="5"/>
        <v>163.70000000000002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57.9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57.9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28943.3</v>
      </c>
      <c r="C89" s="53">
        <f>47925.9+539.6+110+168.6+27</f>
        <v>48771.1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</f>
        <v>23081.199999999997</v>
      </c>
      <c r="E89" s="3">
        <f>D89/D144*100</f>
        <v>5.072810162147858</v>
      </c>
      <c r="F89" s="3">
        <f aca="true" t="shared" si="10" ref="F89:F95">D89/B89*100</f>
        <v>79.74626252016873</v>
      </c>
      <c r="G89" s="3">
        <f t="shared" si="8"/>
        <v>47.32556780552417</v>
      </c>
      <c r="H89" s="3">
        <f aca="true" t="shared" si="11" ref="H89:H95">B89-D89</f>
        <v>5862.100000000002</v>
      </c>
      <c r="I89" s="3">
        <f t="shared" si="9"/>
        <v>25689.9</v>
      </c>
    </row>
    <row r="90" spans="1:9" ht="18">
      <c r="A90" s="29" t="s">
        <v>3</v>
      </c>
      <c r="B90" s="49">
        <v>23506.7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</f>
        <v>19679.399999999998</v>
      </c>
      <c r="E90" s="1">
        <f>D90/D89*100</f>
        <v>85.26159818380327</v>
      </c>
      <c r="F90" s="1">
        <f t="shared" si="10"/>
        <v>83.71825904954756</v>
      </c>
      <c r="G90" s="1">
        <f t="shared" si="8"/>
        <v>49.64781270498007</v>
      </c>
      <c r="H90" s="1">
        <f t="shared" si="11"/>
        <v>3827.300000000003</v>
      </c>
      <c r="I90" s="1">
        <f t="shared" si="9"/>
        <v>19958.600000000002</v>
      </c>
    </row>
    <row r="91" spans="1:9" ht="18">
      <c r="A91" s="29" t="s">
        <v>33</v>
      </c>
      <c r="B91" s="49">
        <v>1385.5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</f>
        <v>959.5999999999999</v>
      </c>
      <c r="E91" s="1">
        <f>D91/D89*100</f>
        <v>4.15749614404797</v>
      </c>
      <c r="F91" s="1">
        <f t="shared" si="10"/>
        <v>69.26019487549621</v>
      </c>
      <c r="G91" s="1">
        <f t="shared" si="8"/>
        <v>37.26457224962137</v>
      </c>
      <c r="H91" s="1">
        <f t="shared" si="11"/>
        <v>425.9000000000001</v>
      </c>
      <c r="I91" s="1">
        <f t="shared" si="9"/>
        <v>1615.5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4051.0999999999985</v>
      </c>
      <c r="C93" s="50">
        <f>C89-C90-C91-C92</f>
        <v>6557.999999999998</v>
      </c>
      <c r="D93" s="50">
        <f>D89-D90-D91-D92</f>
        <v>2442.1999999999994</v>
      </c>
      <c r="E93" s="1">
        <f>D93/D89*100</f>
        <v>10.580905672148761</v>
      </c>
      <c r="F93" s="1">
        <f t="shared" si="10"/>
        <v>60.28486090197725</v>
      </c>
      <c r="G93" s="1">
        <f>D93/C93*100</f>
        <v>37.24001219884111</v>
      </c>
      <c r="H93" s="1">
        <f t="shared" si="11"/>
        <v>1608.8999999999992</v>
      </c>
      <c r="I93" s="1">
        <f>C93-D93</f>
        <v>4115.799999999999</v>
      </c>
    </row>
    <row r="94" spans="1:9" ht="18.75">
      <c r="A94" s="122" t="s">
        <v>12</v>
      </c>
      <c r="B94" s="127">
        <v>31335.6</v>
      </c>
      <c r="C94" s="129">
        <f>48638.3+1900-424+424</f>
        <v>50538.3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</f>
        <v>26043.900000000005</v>
      </c>
      <c r="E94" s="121">
        <f>D94/D144*100</f>
        <v>5.723955452141251</v>
      </c>
      <c r="F94" s="125">
        <f t="shared" si="10"/>
        <v>83.1128173706583</v>
      </c>
      <c r="G94" s="120">
        <f>D94/C94*100</f>
        <v>51.53299576756639</v>
      </c>
      <c r="H94" s="126">
        <f t="shared" si="11"/>
        <v>5291.699999999993</v>
      </c>
      <c r="I94" s="121">
        <f>C94-D94</f>
        <v>24494.399999999998</v>
      </c>
    </row>
    <row r="95" spans="1:9" ht="18.75" thickBot="1">
      <c r="A95" s="123" t="s">
        <v>110</v>
      </c>
      <c r="B95" s="130">
        <v>2819</v>
      </c>
      <c r="C95" s="131">
        <f>4853.7+35</f>
        <v>4888.7</v>
      </c>
      <c r="D95" s="132">
        <f>600+69+9+48.5+2.5+299.7+50.5+190.4+1.3+10.6+6.7+53.3-0.1+0.9+266.8+7.4+4.8+52.9+0.1+200.2+15.7+7.1+5.9+55</f>
        <v>1958.2000000000003</v>
      </c>
      <c r="E95" s="133">
        <f>D95/D94*100</f>
        <v>7.518843184008539</v>
      </c>
      <c r="F95" s="134">
        <f t="shared" si="10"/>
        <v>69.46434905995035</v>
      </c>
      <c r="G95" s="135">
        <f>D95/C95*100</f>
        <v>40.0556385133062</v>
      </c>
      <c r="H95" s="124">
        <f t="shared" si="11"/>
        <v>860.7999999999997</v>
      </c>
      <c r="I95" s="96">
        <f>C95-D95</f>
        <v>2930.4999999999995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5430.1</v>
      </c>
      <c r="C101" s="104">
        <f>6061.2+4589.8-16.4-3.1+0.1-234</f>
        <v>10397.6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</f>
        <v>2919.3999999999996</v>
      </c>
      <c r="E101" s="25">
        <f>D101/D144*100</f>
        <v>0.6416287709206825</v>
      </c>
      <c r="F101" s="25">
        <f>D101/B101*100</f>
        <v>53.76328244415387</v>
      </c>
      <c r="G101" s="25">
        <f aca="true" t="shared" si="12" ref="G101:G142">D101/C101*100</f>
        <v>28.0776332999923</v>
      </c>
      <c r="H101" s="25">
        <f aca="true" t="shared" si="13" ref="H101:H106">B101-D101</f>
        <v>2510.7000000000007</v>
      </c>
      <c r="I101" s="25">
        <f aca="true" t="shared" si="14" ref="I101:I142">C101-D101</f>
        <v>7478.200000000001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4891</v>
      </c>
      <c r="C103" s="51">
        <f>5036.9+4586-16.4-3.1+0.1-234</f>
        <v>9369.5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</f>
        <v>2613.3</v>
      </c>
      <c r="E103" s="1">
        <f>D103/D101*100</f>
        <v>89.5149688292115</v>
      </c>
      <c r="F103" s="1">
        <f aca="true" t="shared" si="15" ref="F103:F142">D103/B103*100</f>
        <v>53.43079124923329</v>
      </c>
      <c r="G103" s="1">
        <f t="shared" si="12"/>
        <v>27.89156305032286</v>
      </c>
      <c r="H103" s="1">
        <f t="shared" si="13"/>
        <v>2277.7</v>
      </c>
      <c r="I103" s="1">
        <f t="shared" si="14"/>
        <v>6756.2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539.1000000000004</v>
      </c>
      <c r="C105" s="100">
        <f>C101-C102-C103</f>
        <v>1028.1000000000004</v>
      </c>
      <c r="D105" s="100">
        <f>D101-D102-D103</f>
        <v>306.09999999999945</v>
      </c>
      <c r="E105" s="96">
        <f>D105/D101*100</f>
        <v>10.4850311707885</v>
      </c>
      <c r="F105" s="96">
        <f t="shared" si="15"/>
        <v>56.77981821554429</v>
      </c>
      <c r="G105" s="96">
        <f t="shared" si="12"/>
        <v>29.773368349382288</v>
      </c>
      <c r="H105" s="96">
        <f>B105-D105</f>
        <v>233.0000000000009</v>
      </c>
      <c r="I105" s="96">
        <f t="shared" si="14"/>
        <v>722.0000000000009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96716.1</v>
      </c>
      <c r="C106" s="93">
        <f>SUM(C107:C141)-C114-C118+C142-C134-C135-C108-C111-C121-C122-C132</f>
        <v>149819.9</v>
      </c>
      <c r="D106" s="93">
        <f>SUM(D107:D141)-D114-D118+D142-D134-D135-D108-D111-D121-D122-D132</f>
        <v>69573.50000000001</v>
      </c>
      <c r="E106" s="94">
        <f>D106/D144*100</f>
        <v>15.290936251849734</v>
      </c>
      <c r="F106" s="94">
        <f>D106/B106*100</f>
        <v>71.93579972724294</v>
      </c>
      <c r="G106" s="94">
        <f t="shared" si="12"/>
        <v>46.438090000060086</v>
      </c>
      <c r="H106" s="94">
        <f t="shared" si="13"/>
        <v>27142.59999999999</v>
      </c>
      <c r="I106" s="94">
        <f t="shared" si="14"/>
        <v>80246.39999999998</v>
      </c>
    </row>
    <row r="107" spans="1:9" ht="37.5">
      <c r="A107" s="34" t="s">
        <v>67</v>
      </c>
      <c r="B107" s="78">
        <v>1136.5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</f>
        <v>648.9000000000002</v>
      </c>
      <c r="E107" s="6">
        <f>D107/D106*100</f>
        <v>0.9326827024657378</v>
      </c>
      <c r="F107" s="6">
        <f t="shared" si="15"/>
        <v>57.09634843818744</v>
      </c>
      <c r="G107" s="6">
        <f t="shared" si="12"/>
        <v>36.05400600066675</v>
      </c>
      <c r="H107" s="6">
        <f aca="true" t="shared" si="16" ref="H107:H142">B107-D107</f>
        <v>487.5999999999998</v>
      </c>
      <c r="I107" s="6">
        <f t="shared" si="14"/>
        <v>1150.8999999999996</v>
      </c>
    </row>
    <row r="108" spans="1:9" ht="18">
      <c r="A108" s="29" t="s">
        <v>33</v>
      </c>
      <c r="B108" s="81">
        <v>475</v>
      </c>
      <c r="C108" s="51">
        <v>823.7</v>
      </c>
      <c r="D108" s="82">
        <f>96.8+90.7+64.1+48.5+58.1+15.9</f>
        <v>374.1</v>
      </c>
      <c r="E108" s="1"/>
      <c r="F108" s="1">
        <f t="shared" si="15"/>
        <v>78.7578947368421</v>
      </c>
      <c r="G108" s="1">
        <f t="shared" si="12"/>
        <v>45.417020759985434</v>
      </c>
      <c r="H108" s="1">
        <f t="shared" si="16"/>
        <v>100.89999999999998</v>
      </c>
      <c r="I108" s="1">
        <f t="shared" si="14"/>
        <v>449.6</v>
      </c>
    </row>
    <row r="109" spans="1:9" ht="34.5" customHeight="1">
      <c r="A109" s="17" t="s">
        <v>100</v>
      </c>
      <c r="B109" s="80">
        <v>514.1</v>
      </c>
      <c r="C109" s="68">
        <v>903.8</v>
      </c>
      <c r="D109" s="79">
        <f>20.7+31.6+0.1+27.7-0.1+31.4+0.1+10.6+34.1</f>
        <v>156.2</v>
      </c>
      <c r="E109" s="6">
        <f>D109/D106*100</f>
        <v>0.22451076918654367</v>
      </c>
      <c r="F109" s="6">
        <f>D109/B109*100</f>
        <v>30.3831939311418</v>
      </c>
      <c r="G109" s="6">
        <f t="shared" si="12"/>
        <v>17.28258464262005</v>
      </c>
      <c r="H109" s="6">
        <f t="shared" si="16"/>
        <v>357.90000000000003</v>
      </c>
      <c r="I109" s="6">
        <f t="shared" si="14"/>
        <v>747.5999999999999</v>
      </c>
    </row>
    <row r="110" spans="1:9" s="44" customFormat="1" ht="34.5" customHeight="1">
      <c r="A110" s="17" t="s">
        <v>75</v>
      </c>
      <c r="B110" s="80">
        <v>56.9</v>
      </c>
      <c r="C110" s="60">
        <f>71.8+12.8</f>
        <v>84.6</v>
      </c>
      <c r="D110" s="83">
        <f>5.3+5.3+0.5+1.7+6</f>
        <v>18.799999999999997</v>
      </c>
      <c r="E110" s="6">
        <f>D110/D106*100</f>
        <v>0.02702178271899501</v>
      </c>
      <c r="F110" s="6">
        <f t="shared" si="15"/>
        <v>33.04042179261862</v>
      </c>
      <c r="G110" s="6">
        <f t="shared" si="12"/>
        <v>22.22222222222222</v>
      </c>
      <c r="H110" s="6">
        <f t="shared" si="16"/>
        <v>38.1</v>
      </c>
      <c r="I110" s="6">
        <f t="shared" si="14"/>
        <v>65.8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39.2</v>
      </c>
      <c r="C112" s="68">
        <v>67.4</v>
      </c>
      <c r="D112" s="79">
        <f>5.5+5.4+5.5+5.5+5.5+5.5-0.1</f>
        <v>32.8</v>
      </c>
      <c r="E112" s="6">
        <f>D112/D106*100</f>
        <v>0.047144386871438106</v>
      </c>
      <c r="F112" s="6">
        <f t="shared" si="15"/>
        <v>83.67346938775509</v>
      </c>
      <c r="G112" s="6">
        <f t="shared" si="12"/>
        <v>48.664688427299694</v>
      </c>
      <c r="H112" s="6">
        <f t="shared" si="16"/>
        <v>6.400000000000006</v>
      </c>
      <c r="I112" s="6">
        <f t="shared" si="14"/>
        <v>34.60000000000001</v>
      </c>
    </row>
    <row r="113" spans="1:9" ht="37.5">
      <c r="A113" s="17" t="s">
        <v>47</v>
      </c>
      <c r="B113" s="80">
        <v>917.6</v>
      </c>
      <c r="C113" s="68">
        <v>1532.5</v>
      </c>
      <c r="D113" s="79">
        <f>96.4+0.6+6.3+86+10.4+21.5+5.3+0.1+11.6+102.1+10.6+3.5+5.6+100.7+13.3+0.9+3.6+96.9-0.1+15.7+1.7+1+96.8+0.1</f>
        <v>690.6000000000001</v>
      </c>
      <c r="E113" s="6">
        <f>D113/D106*100</f>
        <v>0.9926193162626575</v>
      </c>
      <c r="F113" s="6">
        <f t="shared" si="15"/>
        <v>75.26155187445511</v>
      </c>
      <c r="G113" s="6">
        <f t="shared" si="12"/>
        <v>45.0636215334421</v>
      </c>
      <c r="H113" s="6">
        <f t="shared" si="16"/>
        <v>226.9999999999999</v>
      </c>
      <c r="I113" s="6">
        <f t="shared" si="14"/>
        <v>841.8999999999999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0.051743839249139396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199.2</v>
      </c>
      <c r="C116" s="68">
        <v>245.2</v>
      </c>
      <c r="D116" s="79">
        <f>19.1+40</f>
        <v>59.1</v>
      </c>
      <c r="E116" s="6">
        <f>D116/D106*100</f>
        <v>0.0849461361006705</v>
      </c>
      <c r="F116" s="6">
        <f>D116/B116*100</f>
        <v>29.668674698795183</v>
      </c>
      <c r="G116" s="6">
        <f t="shared" si="12"/>
        <v>24.10277324632953</v>
      </c>
      <c r="H116" s="6">
        <f t="shared" si="16"/>
        <v>140.1</v>
      </c>
      <c r="I116" s="6">
        <f t="shared" si="14"/>
        <v>186.1</v>
      </c>
    </row>
    <row r="117" spans="1:9" s="2" customFormat="1" ht="18.75">
      <c r="A117" s="17" t="s">
        <v>16</v>
      </c>
      <c r="B117" s="80">
        <v>132.4</v>
      </c>
      <c r="C117" s="60">
        <f>199.6+4.8</f>
        <v>204.4</v>
      </c>
      <c r="D117" s="79">
        <f>1.6+18.3+17.8+0.8+2.2+4+0.6+16.7+3.7+3.6+16.7+3.4+1.3+16.7+2.9+0.8+16.7+0.1</f>
        <v>127.9</v>
      </c>
      <c r="E117" s="6">
        <f>D117/D106*100</f>
        <v>0.183834362221248</v>
      </c>
      <c r="F117" s="6">
        <f t="shared" si="15"/>
        <v>96.6012084592145</v>
      </c>
      <c r="G117" s="6">
        <f t="shared" si="12"/>
        <v>62.573385518590996</v>
      </c>
      <c r="H117" s="6">
        <f t="shared" si="16"/>
        <v>4.5</v>
      </c>
      <c r="I117" s="6">
        <f t="shared" si="14"/>
        <v>76.5</v>
      </c>
    </row>
    <row r="118" spans="1:9" s="39" customFormat="1" ht="18">
      <c r="A118" s="40" t="s">
        <v>54</v>
      </c>
      <c r="B118" s="81">
        <v>100.3</v>
      </c>
      <c r="C118" s="51">
        <v>150.8</v>
      </c>
      <c r="D118" s="82">
        <f>16.7+16.7+16.7+16.7+16.7+16.7</f>
        <v>100.2</v>
      </c>
      <c r="E118" s="1"/>
      <c r="F118" s="1">
        <f t="shared" si="15"/>
        <v>99.90029910269193</v>
      </c>
      <c r="G118" s="1">
        <f t="shared" si="12"/>
        <v>66.44562334217507</v>
      </c>
      <c r="H118" s="1">
        <f t="shared" si="16"/>
        <v>0.09999999999999432</v>
      </c>
      <c r="I118" s="1">
        <f t="shared" si="14"/>
        <v>50.60000000000001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0.5724880881370061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45</v>
      </c>
      <c r="B120" s="80">
        <v>1241.4</v>
      </c>
      <c r="C120" s="60">
        <f>628+70+553</f>
        <v>1251</v>
      </c>
      <c r="D120" s="83">
        <f>110.6+553</f>
        <v>663.6</v>
      </c>
      <c r="E120" s="19">
        <f>D120/D106*100</f>
        <v>0.9538114368258027</v>
      </c>
      <c r="F120" s="6">
        <f t="shared" si="15"/>
        <v>53.45577573707104</v>
      </c>
      <c r="G120" s="6">
        <f t="shared" si="12"/>
        <v>53.04556354916067</v>
      </c>
      <c r="H120" s="6">
        <f t="shared" si="16"/>
        <v>577.8000000000001</v>
      </c>
      <c r="I120" s="6">
        <f t="shared" si="14"/>
        <v>587.4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1609.1</v>
      </c>
      <c r="C123" s="60">
        <v>2933.8</v>
      </c>
      <c r="D123" s="83">
        <f>21+0.9+174.2+5+11.4+16.5-0.1+809.5</f>
        <v>1038.4</v>
      </c>
      <c r="E123" s="19">
        <f>D123/D106*100</f>
        <v>1.492522296564065</v>
      </c>
      <c r="F123" s="6">
        <f t="shared" si="15"/>
        <v>64.5329687402896</v>
      </c>
      <c r="G123" s="6">
        <f t="shared" si="12"/>
        <v>35.394369077646736</v>
      </c>
      <c r="H123" s="6">
        <f t="shared" si="16"/>
        <v>570.6999999999998</v>
      </c>
      <c r="I123" s="6">
        <f t="shared" si="14"/>
        <v>1895.4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0.18670901995731132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0.0028746577360632994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235.3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235.3</v>
      </c>
      <c r="I126" s="6">
        <f t="shared" si="14"/>
        <v>332.3</v>
      </c>
    </row>
    <row r="127" spans="1:9" s="2" customFormat="1" ht="37.5">
      <c r="A127" s="17" t="s">
        <v>78</v>
      </c>
      <c r="B127" s="80">
        <v>338.4</v>
      </c>
      <c r="C127" s="60">
        <f>101.4+27.9+634</f>
        <v>763.3</v>
      </c>
      <c r="D127" s="83">
        <f>3+3+4.9+21.9-0.1+12.2+1.6+6.9+7.8+0.7+8.4+2.4+5+2.4+0.1+5.6+2.4+0.1</f>
        <v>88.3</v>
      </c>
      <c r="E127" s="19">
        <f>D127/D106*100</f>
        <v>0.12691613904719468</v>
      </c>
      <c r="F127" s="6">
        <f t="shared" si="15"/>
        <v>26.093380614657214</v>
      </c>
      <c r="G127" s="6">
        <f t="shared" si="12"/>
        <v>11.568190750687803</v>
      </c>
      <c r="H127" s="6">
        <f t="shared" si="16"/>
        <v>250.09999999999997</v>
      </c>
      <c r="I127" s="6">
        <f t="shared" si="14"/>
        <v>675</v>
      </c>
    </row>
    <row r="128" spans="1:9" s="2" customFormat="1" ht="18.75">
      <c r="A128" s="17" t="s">
        <v>72</v>
      </c>
      <c r="B128" s="80">
        <v>415.2</v>
      </c>
      <c r="C128" s="60">
        <v>650</v>
      </c>
      <c r="D128" s="83">
        <f>8.7+23.6+6.2+5.1+38.5+4.6+4.8+8.6+12.9+2.8+0.1+16.3+3+2.5+6.2-0.2</f>
        <v>143.7</v>
      </c>
      <c r="E128" s="19">
        <f>D128/D106*100</f>
        <v>0.20654415833614806</v>
      </c>
      <c r="F128" s="6">
        <f t="shared" si="15"/>
        <v>34.60982658959537</v>
      </c>
      <c r="G128" s="6">
        <f t="shared" si="12"/>
        <v>22.107692307692307</v>
      </c>
      <c r="H128" s="6">
        <f t="shared" si="16"/>
        <v>271.5</v>
      </c>
      <c r="I128" s="6">
        <f t="shared" si="14"/>
        <v>506.3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5.6+5.6+3.5+1.3+1.8+0.1+2.5</f>
        <v>20.400000000000002</v>
      </c>
      <c r="E129" s="19">
        <f>D129/D106*100</f>
        <v>0.029321508907845656</v>
      </c>
      <c r="F129" s="6">
        <f t="shared" si="15"/>
        <v>33.170731707317074</v>
      </c>
      <c r="G129" s="6">
        <f t="shared" si="12"/>
        <v>26.736566186107467</v>
      </c>
      <c r="H129" s="6">
        <f t="shared" si="16"/>
        <v>41.099999999999994</v>
      </c>
      <c r="I129" s="6">
        <f t="shared" si="14"/>
        <v>55.900000000000006</v>
      </c>
    </row>
    <row r="130" spans="1:9" s="2" customFormat="1" ht="35.25" customHeight="1">
      <c r="A130" s="17" t="s">
        <v>73</v>
      </c>
      <c r="B130" s="80">
        <v>80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80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59.9+7.6+10.7+6.3+5.3+38.1+4+0.1</f>
        <v>132</v>
      </c>
      <c r="E131" s="19">
        <f>D131/D106*100</f>
        <v>0.18972741058017775</v>
      </c>
      <c r="F131" s="6">
        <f t="shared" si="15"/>
        <v>49.792531120331944</v>
      </c>
      <c r="G131" s="6">
        <f>D131/C131*100</f>
        <v>49.792531120331944</v>
      </c>
      <c r="H131" s="6">
        <f t="shared" si="16"/>
        <v>133.10000000000002</v>
      </c>
      <c r="I131" s="6">
        <f t="shared" si="14"/>
        <v>133.10000000000002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7.6+0.3+4.8+38.1+4+0.1</f>
        <v>54.9</v>
      </c>
      <c r="E132" s="1"/>
      <c r="F132" s="1">
        <f t="shared" si="15"/>
        <v>85.51401869158877</v>
      </c>
      <c r="G132" s="1">
        <f>D132/C132*100</f>
        <v>85.51401869158877</v>
      </c>
      <c r="H132" s="1">
        <f t="shared" si="16"/>
        <v>9.300000000000004</v>
      </c>
      <c r="I132" s="1">
        <f t="shared" si="14"/>
        <v>9.300000000000004</v>
      </c>
    </row>
    <row r="133" spans="1:9" s="2" customFormat="1" ht="18.75">
      <c r="A133" s="17" t="s">
        <v>32</v>
      </c>
      <c r="B133" s="80">
        <v>581.8</v>
      </c>
      <c r="C133" s="60">
        <f>981.9+3.8</f>
        <v>985.6999999999999</v>
      </c>
      <c r="D133" s="83">
        <f>21.9+41.8+0.1+6.1+26+3.6+0.1+41-0.1+21.3+6.2+7.1+43.4+4.5+8.8+48.5+7.5+32.1+0.1+41.9+8.4+5.1+33.1+1.3+25.6+4.3+48.8</f>
        <v>488.50000000000006</v>
      </c>
      <c r="E133" s="19">
        <f>D133/D106*100</f>
        <v>0.702135152033461</v>
      </c>
      <c r="F133" s="6">
        <f t="shared" si="15"/>
        <v>83.96356136129256</v>
      </c>
      <c r="G133" s="6">
        <f t="shared" si="12"/>
        <v>49.558689256366044</v>
      </c>
      <c r="H133" s="6">
        <f t="shared" si="16"/>
        <v>93.2999999999999</v>
      </c>
      <c r="I133" s="6">
        <f t="shared" si="14"/>
        <v>497.1999999999999</v>
      </c>
    </row>
    <row r="134" spans="1:9" s="39" customFormat="1" ht="18">
      <c r="A134" s="40" t="s">
        <v>54</v>
      </c>
      <c r="B134" s="81">
        <v>501.5</v>
      </c>
      <c r="C134" s="51">
        <v>848.7</v>
      </c>
      <c r="D134" s="82">
        <f>21.9+39.7+0.1+6.1+19+41-0.1+21.3+43.3+8.5+32.3+32.1+41.5+4.2+33.1+25.6+47+0.1</f>
        <v>416.7000000000001</v>
      </c>
      <c r="E134" s="1">
        <f>D134/D133*100</f>
        <v>85.30194472876153</v>
      </c>
      <c r="F134" s="1">
        <f aca="true" t="shared" si="17" ref="F134:F141">D134/B134*100</f>
        <v>83.09072781655037</v>
      </c>
      <c r="G134" s="1">
        <f t="shared" si="12"/>
        <v>49.09862142099683</v>
      </c>
      <c r="H134" s="1">
        <f t="shared" si="16"/>
        <v>84.7999999999999</v>
      </c>
      <c r="I134" s="1">
        <f t="shared" si="14"/>
        <v>431.99999999999994</v>
      </c>
    </row>
    <row r="135" spans="1:9" s="39" customFormat="1" ht="18">
      <c r="A135" s="29" t="s">
        <v>33</v>
      </c>
      <c r="B135" s="81">
        <v>21.8</v>
      </c>
      <c r="C135" s="51">
        <v>26.3</v>
      </c>
      <c r="D135" s="82">
        <f>7+6+0.2+7.1+0.1+0.4+0.3+0.1</f>
        <v>21.2</v>
      </c>
      <c r="E135" s="1">
        <f>D135/D133*100</f>
        <v>4.339815762538382</v>
      </c>
      <c r="F135" s="1">
        <f t="shared" si="17"/>
        <v>97.24770642201834</v>
      </c>
      <c r="G135" s="1">
        <f>D135/C135*100</f>
        <v>80.6083650190114</v>
      </c>
      <c r="H135" s="1">
        <f t="shared" si="16"/>
        <v>0.6000000000000014</v>
      </c>
      <c r="I135" s="1">
        <f t="shared" si="14"/>
        <v>5.100000000000001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2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23" t="s">
        <v>109</v>
      </c>
      <c r="B137" s="80">
        <v>2200</v>
      </c>
      <c r="C137" s="60">
        <f>6500-2076-424</f>
        <v>4000</v>
      </c>
      <c r="D137" s="83">
        <f>241.3+64.6</f>
        <v>305.9</v>
      </c>
      <c r="E137" s="19">
        <f>D137/D106*100</f>
        <v>0.43967890073088156</v>
      </c>
      <c r="F137" s="112">
        <f t="shared" si="17"/>
        <v>13.904545454545453</v>
      </c>
      <c r="G137" s="6">
        <f t="shared" si="12"/>
        <v>7.647499999999999</v>
      </c>
      <c r="H137" s="6">
        <f t="shared" si="16"/>
        <v>1894.1</v>
      </c>
      <c r="I137" s="6">
        <f t="shared" si="14"/>
        <v>3694.1</v>
      </c>
    </row>
    <row r="138" spans="1:9" s="2" customFormat="1" ht="18.75">
      <c r="A138" s="23" t="s">
        <v>111</v>
      </c>
      <c r="B138" s="80">
        <v>2727.5</v>
      </c>
      <c r="C138" s="60">
        <f>6082.6-959.5</f>
        <v>5123.1</v>
      </c>
      <c r="D138" s="83">
        <f>626.1+43.8+40.3+236+112.9+11.4-0.1+68.6+570.3+22.4+44.4+39.9+585.7</f>
        <v>2401.7000000000003</v>
      </c>
      <c r="E138" s="19">
        <f>D138/D106*100</f>
        <v>3.4520327423516135</v>
      </c>
      <c r="F138" s="112">
        <f t="shared" si="17"/>
        <v>88.05499541704859</v>
      </c>
      <c r="G138" s="6">
        <f t="shared" si="12"/>
        <v>46.87981885967481</v>
      </c>
      <c r="H138" s="6">
        <f t="shared" si="16"/>
        <v>325.7999999999997</v>
      </c>
      <c r="I138" s="6">
        <f t="shared" si="14"/>
        <v>2721.4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6.019533299316549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0.7735703967746339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v>64919.1</v>
      </c>
      <c r="C141" s="60">
        <f>91632.1+2530-27+23.1+959.5</f>
        <v>95117.70000000001</v>
      </c>
      <c r="D141" s="83">
        <f>500.9+20883.8+13804+7506.8+2189.4+1247.6</f>
        <v>46132.5</v>
      </c>
      <c r="E141" s="19">
        <f>D141/D106*100</f>
        <v>66.30757400447008</v>
      </c>
      <c r="F141" s="6">
        <f t="shared" si="17"/>
        <v>71.06152118559869</v>
      </c>
      <c r="G141" s="6">
        <f t="shared" si="12"/>
        <v>48.50043682721512</v>
      </c>
      <c r="H141" s="6">
        <f t="shared" si="16"/>
        <v>18786.6</v>
      </c>
      <c r="I141" s="6">
        <f t="shared" si="14"/>
        <v>48985.20000000001</v>
      </c>
      <c r="K141" s="103"/>
      <c r="L141" s="45"/>
    </row>
    <row r="142" spans="1:12" s="2" customFormat="1" ht="18.75">
      <c r="A142" s="17" t="s">
        <v>103</v>
      </c>
      <c r="B142" s="80">
        <v>12987.1</v>
      </c>
      <c r="C142" s="60">
        <v>22263.4</v>
      </c>
      <c r="D142" s="83">
        <f>1236.9+618.4+618.4+618.4+618.5+618.4+618.4+618.5+618.4+618.4+618.5+618.4+618.4+618.5+618.4+618.4+618.5</f>
        <v>11131.799999999997</v>
      </c>
      <c r="E142" s="19">
        <f>D142/D106*100</f>
        <v>16.000057493154713</v>
      </c>
      <c r="F142" s="6">
        <f t="shared" si="15"/>
        <v>85.7142857142857</v>
      </c>
      <c r="G142" s="6">
        <f t="shared" si="12"/>
        <v>50.00044916769225</v>
      </c>
      <c r="H142" s="6">
        <f t="shared" si="16"/>
        <v>1855.300000000003</v>
      </c>
      <c r="I142" s="6">
        <f t="shared" si="14"/>
        <v>11131.600000000004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102993.8</v>
      </c>
      <c r="C143" s="84">
        <f>C43+C68+C71+C76+C78+C86+C101+C106+C99+C83+C97</f>
        <v>161942.9</v>
      </c>
      <c r="D143" s="60">
        <f>D43+D68+D71+D76+D78+D86+D101+D106+D99+D83+D97</f>
        <v>73119.60000000002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554485.3999999999</v>
      </c>
      <c r="C144" s="54">
        <f>C6+C18+C33+C43+C51+C58+C68+C71+C76+C78+C86+C89+C94+C101+C106+C99+C83+C97+C45</f>
        <v>896182.6000000001</v>
      </c>
      <c r="D144" s="54">
        <f>D6+D18+D33+D43+D51+D58+D68+D71+D76+D78+D86+D89+D94+D101+D106+D99+D83+D97+D45</f>
        <v>454998.3</v>
      </c>
      <c r="E144" s="38">
        <v>100</v>
      </c>
      <c r="F144" s="3">
        <f>D144/B144*100</f>
        <v>82.05776022236114</v>
      </c>
      <c r="G144" s="3">
        <f aca="true" t="shared" si="18" ref="G144:G150">D144/C144*100</f>
        <v>50.77071346843823</v>
      </c>
      <c r="H144" s="3">
        <f aca="true" t="shared" si="19" ref="H144:H150">B144-D144</f>
        <v>99487.09999999992</v>
      </c>
      <c r="I144" s="3">
        <f aca="true" t="shared" si="20" ref="I144:I150">C144-D144</f>
        <v>441184.3000000001</v>
      </c>
      <c r="K144" s="46"/>
      <c r="L144" s="47"/>
    </row>
    <row r="145" spans="1:12" ht="18.75">
      <c r="A145" s="23" t="s">
        <v>5</v>
      </c>
      <c r="B145" s="67">
        <f>B8+B20+B34+B52+B59+B90+B114+B118+B46+B134</f>
        <v>311057.6</v>
      </c>
      <c r="C145" s="67">
        <f>C8+C20+C34+C52+C59+C90+C114+C118+C46+C134</f>
        <v>507335.6</v>
      </c>
      <c r="D145" s="67">
        <f>D8+D20+D34+D52+D59+D90+D114+D118+D46+D134</f>
        <v>272144.5</v>
      </c>
      <c r="E145" s="6">
        <f>D145/D144*100</f>
        <v>59.81220149613746</v>
      </c>
      <c r="F145" s="6">
        <f aca="true" t="shared" si="21" ref="F145:F156">D145/B145*100</f>
        <v>87.49006614852041</v>
      </c>
      <c r="G145" s="6">
        <f t="shared" si="18"/>
        <v>53.64190882721418</v>
      </c>
      <c r="H145" s="6">
        <f t="shared" si="19"/>
        <v>38913.09999999998</v>
      </c>
      <c r="I145" s="18">
        <f t="shared" si="20"/>
        <v>235191.09999999998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64522.50000000001</v>
      </c>
      <c r="C146" s="68">
        <f>C11+C23+C36+C55+C61+C91+C49+C135+C108+C111+C95+C132</f>
        <v>99365.7</v>
      </c>
      <c r="D146" s="68">
        <f>D11+D23+D36+D55+D61+D91+D49+D135+D108+D111+D95+D132</f>
        <v>53615.8</v>
      </c>
      <c r="E146" s="6">
        <f>D146/D144*100</f>
        <v>11.783736334839054</v>
      </c>
      <c r="F146" s="6">
        <f t="shared" si="21"/>
        <v>83.0962842419311</v>
      </c>
      <c r="G146" s="6">
        <f t="shared" si="18"/>
        <v>53.958055948883775</v>
      </c>
      <c r="H146" s="6">
        <f t="shared" si="19"/>
        <v>10906.700000000004</v>
      </c>
      <c r="I146" s="18">
        <f t="shared" si="20"/>
        <v>45749.899999999994</v>
      </c>
      <c r="K146" s="46"/>
      <c r="L146" s="102"/>
    </row>
    <row r="147" spans="1:12" ht="18.75">
      <c r="A147" s="23" t="s">
        <v>1</v>
      </c>
      <c r="B147" s="67">
        <f>B22+B10+B54+B48+B60+B35+B102+B122</f>
        <v>14343.900000000001</v>
      </c>
      <c r="C147" s="67">
        <f>C22+C10+C54+C48+C60+C35+C102+C122</f>
        <v>25986.7</v>
      </c>
      <c r="D147" s="67">
        <f>D22+D10+D54+D48+D60+D35+D102+D122</f>
        <v>10535.6</v>
      </c>
      <c r="E147" s="6">
        <f>D147/D144*100</f>
        <v>2.315525134929076</v>
      </c>
      <c r="F147" s="6">
        <f t="shared" si="21"/>
        <v>73.45003799524537</v>
      </c>
      <c r="G147" s="6">
        <f t="shared" si="18"/>
        <v>40.54227739574475</v>
      </c>
      <c r="H147" s="6">
        <f t="shared" si="19"/>
        <v>3808.300000000001</v>
      </c>
      <c r="I147" s="18">
        <f t="shared" si="20"/>
        <v>15451.1</v>
      </c>
      <c r="K147" s="46"/>
      <c r="L147" s="47"/>
    </row>
    <row r="148" spans="1:12" ht="21" customHeight="1">
      <c r="A148" s="23" t="s">
        <v>15</v>
      </c>
      <c r="B148" s="67">
        <f>B12+B24+B103+B62+B38+B92</f>
        <v>8135</v>
      </c>
      <c r="C148" s="67">
        <f>C12+C24+C103+C62+C38+C92</f>
        <v>14369.800000000001</v>
      </c>
      <c r="D148" s="67">
        <f>D12+D24+D103+D62+D38+D92</f>
        <v>3471.2000000000003</v>
      </c>
      <c r="E148" s="6">
        <f>D148/D144*100</f>
        <v>0.7629039493114591</v>
      </c>
      <c r="F148" s="6">
        <f t="shared" si="21"/>
        <v>42.669944683466504</v>
      </c>
      <c r="G148" s="6">
        <f t="shared" si="18"/>
        <v>24.15621650962435</v>
      </c>
      <c r="H148" s="6">
        <f t="shared" si="19"/>
        <v>4663.799999999999</v>
      </c>
      <c r="I148" s="18">
        <f t="shared" si="20"/>
        <v>10898.6</v>
      </c>
      <c r="K148" s="46"/>
      <c r="L148" s="102"/>
    </row>
    <row r="149" spans="1:12" ht="18.75">
      <c r="A149" s="23" t="s">
        <v>2</v>
      </c>
      <c r="B149" s="67">
        <f>B9+B21+B47+B53+B121</f>
        <v>6865.9</v>
      </c>
      <c r="C149" s="67">
        <f>C9+C21+C47+C53+C121</f>
        <v>12818.7</v>
      </c>
      <c r="D149" s="67">
        <f>D9+D21+D47+D53+D121</f>
        <v>3927.7999999999997</v>
      </c>
      <c r="E149" s="6">
        <f>D149/D144*100</f>
        <v>0.8632559726047327</v>
      </c>
      <c r="F149" s="6">
        <f t="shared" si="21"/>
        <v>57.20735810308918</v>
      </c>
      <c r="G149" s="6">
        <f t="shared" si="18"/>
        <v>30.641172661814377</v>
      </c>
      <c r="H149" s="6">
        <f t="shared" si="19"/>
        <v>2938.1</v>
      </c>
      <c r="I149" s="18">
        <f t="shared" si="20"/>
        <v>8890.900000000001</v>
      </c>
      <c r="K149" s="46"/>
      <c r="L149" s="47"/>
    </row>
    <row r="150" spans="1:12" ht="19.5" thickBot="1">
      <c r="A150" s="23" t="s">
        <v>35</v>
      </c>
      <c r="B150" s="67">
        <f>B144-B145-B146-B147-B148-B149</f>
        <v>149560.49999999994</v>
      </c>
      <c r="C150" s="67">
        <f>C144-C145-C146-C147-C148-C149</f>
        <v>236306.1000000001</v>
      </c>
      <c r="D150" s="67">
        <f>D144-D145-D146-D147-D148-D149</f>
        <v>111303.39999999998</v>
      </c>
      <c r="E150" s="6">
        <f>D150/D144*100</f>
        <v>24.462377112178217</v>
      </c>
      <c r="F150" s="6">
        <f t="shared" si="21"/>
        <v>74.42031819898972</v>
      </c>
      <c r="G150" s="43">
        <f t="shared" si="18"/>
        <v>47.101365559331704</v>
      </c>
      <c r="H150" s="6">
        <f t="shared" si="19"/>
        <v>38257.09999999996</v>
      </c>
      <c r="I150" s="6">
        <f t="shared" si="20"/>
        <v>125002.70000000011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12969.7</v>
      </c>
      <c r="C152" s="73">
        <f>3301.9+496+14356.4</f>
        <v>18154.3</v>
      </c>
      <c r="D152" s="73">
        <f>288.1+1522.4+951.8+530.2+8.8+0.5+0.1+495.9+10.6+101+174.6+2.1+509.4</f>
        <v>4595.5</v>
      </c>
      <c r="E152" s="15"/>
      <c r="F152" s="6">
        <f t="shared" si="21"/>
        <v>35.43258517930253</v>
      </c>
      <c r="G152" s="6">
        <f aca="true" t="shared" si="22" ref="G152:G161">D152/C152*100</f>
        <v>25.313562076202334</v>
      </c>
      <c r="H152" s="6">
        <f>B152-D152</f>
        <v>8374.2</v>
      </c>
      <c r="I152" s="6">
        <f aca="true" t="shared" si="23" ref="I152:I161">C152-D152</f>
        <v>13558.8</v>
      </c>
      <c r="K152" s="46"/>
      <c r="L152" s="46"/>
    </row>
    <row r="153" spans="1:12" ht="18.75">
      <c r="A153" s="23" t="s">
        <v>22</v>
      </c>
      <c r="B153" s="88">
        <v>10210.3</v>
      </c>
      <c r="C153" s="67">
        <f>16860.5</f>
        <v>16860.5</v>
      </c>
      <c r="D153" s="67">
        <f>132.1+649.5+498.6+2.9+146.5</f>
        <v>1429.6000000000001</v>
      </c>
      <c r="E153" s="6"/>
      <c r="F153" s="6">
        <f t="shared" si="21"/>
        <v>14.001547456979718</v>
      </c>
      <c r="G153" s="6">
        <f t="shared" si="22"/>
        <v>8.47898935381513</v>
      </c>
      <c r="H153" s="6">
        <f aca="true" t="shared" si="24" ref="H153:H160">B153-D153</f>
        <v>8780.699999999999</v>
      </c>
      <c r="I153" s="6">
        <f t="shared" si="23"/>
        <v>15430.9</v>
      </c>
      <c r="K153" s="46"/>
      <c r="L153" s="46"/>
    </row>
    <row r="154" spans="1:12" ht="18.75">
      <c r="A154" s="23" t="s">
        <v>61</v>
      </c>
      <c r="B154" s="88">
        <f>73276.3-278.8+30771.1</f>
        <v>103768.6</v>
      </c>
      <c r="C154" s="67">
        <f>105956.2+2530+90940.5+959.5</f>
        <v>200386.2</v>
      </c>
      <c r="D154" s="67">
        <f>72+2507+500.9+784.3+577.6+1236.9+2501.8+375+180.7+310.2-4.2+554.9+23.5+182.4+693.6-182.4+595+297.2+620.2+157.1-0.3+15.6+883.3+9.6+10.4+12-13.2+225+914.2+6+75.1+258.4+29.4+440.2+179+162.3+38+25.2+582.5</f>
        <v>15836.400000000003</v>
      </c>
      <c r="E154" s="6"/>
      <c r="F154" s="6">
        <f t="shared" si="21"/>
        <v>15.261264004718193</v>
      </c>
      <c r="G154" s="6">
        <f t="shared" si="22"/>
        <v>7.9029394239723105</v>
      </c>
      <c r="H154" s="6">
        <f t="shared" si="24"/>
        <v>87932.2</v>
      </c>
      <c r="I154" s="6">
        <f t="shared" si="23"/>
        <v>184549.80000000002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10733.5</v>
      </c>
      <c r="C156" s="67">
        <f>54+13623.4</f>
        <v>13677.4</v>
      </c>
      <c r="D156" s="67">
        <f>5.2+5.1+225.1+114.9+40.2+5.2+4.6+89.9</f>
        <v>490.20000000000005</v>
      </c>
      <c r="E156" s="19"/>
      <c r="F156" s="6">
        <f t="shared" si="21"/>
        <v>4.567009829039923</v>
      </c>
      <c r="G156" s="6">
        <f t="shared" si="22"/>
        <v>3.584014505680905</v>
      </c>
      <c r="H156" s="6">
        <f t="shared" si="24"/>
        <v>10243.3</v>
      </c>
      <c r="I156" s="6">
        <f t="shared" si="23"/>
        <v>13187.199999999999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826.6</v>
      </c>
      <c r="C158" s="67">
        <f>1212+158.6</f>
        <v>1370.6</v>
      </c>
      <c r="D158" s="67">
        <f>15.4+25.9+416.9+18.7</f>
        <v>476.9</v>
      </c>
      <c r="E158" s="19"/>
      <c r="F158" s="6">
        <f>D158/B158*100</f>
        <v>57.69416888458746</v>
      </c>
      <c r="G158" s="6">
        <f t="shared" si="22"/>
        <v>34.794980300598276</v>
      </c>
      <c r="H158" s="6">
        <f t="shared" si="24"/>
        <v>349.70000000000005</v>
      </c>
      <c r="I158" s="6">
        <f t="shared" si="23"/>
        <v>893.6999999999999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3718.8</v>
      </c>
      <c r="C160" s="89">
        <v>3718.8</v>
      </c>
      <c r="D160" s="89">
        <f>98.8+11.3+146.1+110.9-0.1+10.1+85.3+20.5+418+104.6+257.6+46.9+315.7</f>
        <v>1625.7000000000003</v>
      </c>
      <c r="E160" s="24"/>
      <c r="F160" s="6">
        <f>D160/B160*100</f>
        <v>43.715714746692484</v>
      </c>
      <c r="G160" s="6">
        <f t="shared" si="22"/>
        <v>43.715714746692484</v>
      </c>
      <c r="H160" s="6">
        <f t="shared" si="24"/>
        <v>2093.1</v>
      </c>
      <c r="I160" s="6">
        <f t="shared" si="23"/>
        <v>2093.1</v>
      </c>
    </row>
    <row r="161" spans="1:9" ht="19.5" thickBot="1">
      <c r="A161" s="14" t="s">
        <v>20</v>
      </c>
      <c r="B161" s="90">
        <f>B144+B152+B156+B157+B153+B160+B159+B154+B158+B155</f>
        <v>697329.8999999999</v>
      </c>
      <c r="C161" s="90">
        <f>C144+C152+C156+C157+C153+C160+C159+C154+C158+C155</f>
        <v>1151167.4000000001</v>
      </c>
      <c r="D161" s="90">
        <f>D144+D152+D156+D157+D153+D160+D159+D154+D158+D155</f>
        <v>479762.00000000006</v>
      </c>
      <c r="E161" s="25"/>
      <c r="F161" s="3">
        <f>D161/B161*100</f>
        <v>68.79986072589173</v>
      </c>
      <c r="G161" s="3">
        <f t="shared" si="22"/>
        <v>41.676128076594246</v>
      </c>
      <c r="H161" s="3">
        <f>B161-D161</f>
        <v>217567.89999999985</v>
      </c>
      <c r="I161" s="3">
        <f t="shared" si="23"/>
        <v>671405.4000000001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454998.3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454998.3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2015-06-30T11:31:16Z</cp:lastPrinted>
  <dcterms:created xsi:type="dcterms:W3CDTF">2000-06-20T04:48:00Z</dcterms:created>
  <dcterms:modified xsi:type="dcterms:W3CDTF">2015-07-01T05:09:03Z</dcterms:modified>
  <cp:category/>
  <cp:version/>
  <cp:contentType/>
  <cp:contentStatus/>
</cp:coreProperties>
</file>